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65416" windowWidth="28620" windowHeight="13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<sst xmlns="http://schemas.openxmlformats.org/spreadsheetml/2006/main" count="94" uniqueCount="59">
  <si>
    <t>b</t>
  </si>
  <si>
    <t>Q</t>
  </si>
  <si>
    <t>h</t>
  </si>
  <si>
    <t>v</t>
  </si>
  <si>
    <t>a0</t>
  </si>
  <si>
    <t>mv</t>
  </si>
  <si>
    <t>dt</t>
  </si>
  <si>
    <t>bl/d/a</t>
  </si>
  <si>
    <t>controllo</t>
  </si>
  <si>
    <t>sezione</t>
  </si>
  <si>
    <t>pmax</t>
  </si>
  <si>
    <t>diametro</t>
  </si>
  <si>
    <t>Lunghezza</t>
  </si>
  <si>
    <t>1/2mv^2</t>
  </si>
  <si>
    <t>fmax</t>
  </si>
  <si>
    <t>Volume</t>
  </si>
  <si>
    <t>volume  BAR</t>
  </si>
  <si>
    <t>a pmax Pa</t>
  </si>
  <si>
    <t>m</t>
  </si>
  <si>
    <t>Joule</t>
  </si>
  <si>
    <t>kgm/s</t>
  </si>
  <si>
    <t>N</t>
  </si>
  <si>
    <t>m/s</t>
  </si>
  <si>
    <t>m^3/s</t>
  </si>
  <si>
    <t>v max</t>
  </si>
  <si>
    <t xml:space="preserve">altezza </t>
  </si>
  <si>
    <t>caduta</t>
  </si>
  <si>
    <t>di chiusura</t>
  </si>
  <si>
    <t>tempo</t>
  </si>
  <si>
    <t>m^2</t>
  </si>
  <si>
    <t>fissata la lunghezza per ogni diametro e h  e dt si ottiene la v effetiva e la portata di scarico , la pressione massima, il volume per ogni colpo alla p max, oppure il volume per ogni colpo alla pressione fissata</t>
  </si>
  <si>
    <t>secondi</t>
  </si>
  <si>
    <t>portata</t>
  </si>
  <si>
    <t>energia cinetica</t>
  </si>
  <si>
    <t>joule</t>
  </si>
  <si>
    <t xml:space="preserve">solo per </t>
  </si>
  <si>
    <t xml:space="preserve">prima </t>
  </si>
  <si>
    <t>tabella</t>
  </si>
  <si>
    <t xml:space="preserve">dato </t>
  </si>
  <si>
    <t>comune</t>
  </si>
  <si>
    <t>fissata la portata e h  e dt si ottiene lunghezza del tubo  la v effetiva  , la pressione massima, il volume per ogni colpo alla p max, oppure il volume per ogni colpo alla pressione fissata</t>
  </si>
  <si>
    <t>in verde i dati regolabili</t>
  </si>
  <si>
    <t>in azzurro dati in uscita</t>
  </si>
  <si>
    <t>rad delta</t>
  </si>
  <si>
    <t>rendimento massimo</t>
  </si>
  <si>
    <t>tempo 0..1*vmax</t>
  </si>
  <si>
    <t>Vol perso</t>
  </si>
  <si>
    <t>Fmax</t>
  </si>
  <si>
    <t>mv max</t>
  </si>
  <si>
    <t>max joule</t>
  </si>
  <si>
    <t>ecinetica</t>
  </si>
  <si>
    <t>m^3</t>
  </si>
  <si>
    <t>BAR</t>
  </si>
  <si>
    <t>cm^3</t>
  </si>
  <si>
    <t>millilitri</t>
  </si>
  <si>
    <t xml:space="preserve">a pmax </t>
  </si>
  <si>
    <t>alla p  BAR</t>
  </si>
  <si>
    <t xml:space="preserve">BAR </t>
  </si>
  <si>
    <t>v raggiunta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</si>
</sst>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2" fontId="1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3" borderId="0" xfId="0" applyNumberFormat="1" applyFill="1" applyAlignment="1">
      <alignment/>
    </xf>
    <xf numFmtId="4" fontId="1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2" fontId="1" fillId="5" borderId="1" xfId="0" applyNumberFormat="1" applyFont="1" applyFill="1" applyBorder="1" applyAlignment="1">
      <alignment horizontal="center"/>
    </xf>
    <xf numFmtId="4" fontId="1" fillId="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5" borderId="0" xfId="0" applyFont="1" applyFill="1" applyAlignment="1">
      <alignment/>
    </xf>
    <xf numFmtId="1" fontId="6" fillId="6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62"/>
  <sheetViews>
    <sheetView tabSelected="1" workbookViewId="0" topLeftCell="I34">
      <selection activeCell="AB62" sqref="AB62:AC62"/>
    </sheetView>
  </sheetViews>
  <sheetFormatPr defaultColWidth="9.140625" defaultRowHeight="12.75"/>
  <cols>
    <col min="8" max="8" width="12.421875" style="0" bestFit="1" customWidth="1"/>
    <col min="9" max="9" width="10.140625" style="0" customWidth="1"/>
    <col min="10" max="10" width="12.421875" style="0" bestFit="1" customWidth="1"/>
    <col min="11" max="11" width="12.421875" style="0" customWidth="1"/>
    <col min="13" max="13" width="12.421875" style="0" bestFit="1" customWidth="1"/>
    <col min="14" max="14" width="13.421875" style="0" customWidth="1"/>
    <col min="19" max="19" width="12.421875" style="0" bestFit="1" customWidth="1"/>
    <col min="20" max="21" width="14.57421875" style="0" customWidth="1"/>
    <col min="22" max="25" width="12.421875" style="0" customWidth="1"/>
    <col min="26" max="26" width="3.8515625" style="0" customWidth="1"/>
    <col min="27" max="27" width="12.421875" style="0" bestFit="1" customWidth="1"/>
    <col min="28" max="28" width="8.7109375" style="0" customWidth="1"/>
    <col min="29" max="29" width="13.140625" style="0" bestFit="1" customWidth="1"/>
    <col min="30" max="30" width="11.00390625" style="0" bestFit="1" customWidth="1"/>
    <col min="31" max="31" width="11.00390625" style="0" customWidth="1"/>
    <col min="32" max="32" width="11.421875" style="0" bestFit="1" customWidth="1"/>
    <col min="33" max="33" width="12.421875" style="0" bestFit="1" customWidth="1"/>
  </cols>
  <sheetData>
    <row r="2" spans="10:29" ht="12.75">
      <c r="J2" s="5" t="s">
        <v>40</v>
      </c>
      <c r="AB2" s="12" t="s">
        <v>54</v>
      </c>
      <c r="AC2" s="11" t="s">
        <v>54</v>
      </c>
    </row>
    <row r="3" spans="5:29" ht="12.75">
      <c r="E3" t="s">
        <v>2</v>
      </c>
      <c r="G3" t="s">
        <v>24</v>
      </c>
      <c r="I3" t="s">
        <v>6</v>
      </c>
      <c r="K3" t="s">
        <v>9</v>
      </c>
      <c r="L3" t="s">
        <v>11</v>
      </c>
      <c r="M3" t="s">
        <v>12</v>
      </c>
      <c r="N3" t="s">
        <v>33</v>
      </c>
      <c r="O3" t="s">
        <v>48</v>
      </c>
      <c r="P3" t="s">
        <v>47</v>
      </c>
      <c r="Q3" t="s">
        <v>24</v>
      </c>
      <c r="R3" t="s">
        <v>1</v>
      </c>
      <c r="T3" s="9" t="s">
        <v>45</v>
      </c>
      <c r="U3" s="20" t="s">
        <v>58</v>
      </c>
      <c r="V3" t="s">
        <v>50</v>
      </c>
      <c r="W3" t="s">
        <v>5</v>
      </c>
      <c r="X3" t="s">
        <v>46</v>
      </c>
      <c r="Y3" t="s">
        <v>44</v>
      </c>
      <c r="AA3" t="s">
        <v>10</v>
      </c>
      <c r="AB3" s="13" t="s">
        <v>15</v>
      </c>
      <c r="AC3" s="9" t="s">
        <v>56</v>
      </c>
    </row>
    <row r="4" spans="3:29" ht="12.75">
      <c r="C4" t="s">
        <v>0</v>
      </c>
      <c r="D4" t="s">
        <v>1</v>
      </c>
      <c r="E4" t="s">
        <v>18</v>
      </c>
      <c r="G4" t="s">
        <v>22</v>
      </c>
      <c r="H4" t="s">
        <v>4</v>
      </c>
      <c r="I4" t="s">
        <v>31</v>
      </c>
      <c r="J4" t="s">
        <v>7</v>
      </c>
      <c r="K4" t="s">
        <v>29</v>
      </c>
      <c r="L4" t="s">
        <v>18</v>
      </c>
      <c r="N4" t="s">
        <v>49</v>
      </c>
      <c r="O4" t="s">
        <v>20</v>
      </c>
      <c r="P4" t="s">
        <v>21</v>
      </c>
      <c r="Q4" t="s">
        <v>22</v>
      </c>
      <c r="R4" t="s">
        <v>8</v>
      </c>
      <c r="S4" t="s">
        <v>43</v>
      </c>
      <c r="T4" s="4">
        <v>0.2</v>
      </c>
      <c r="U4" s="4"/>
      <c r="V4" t="s">
        <v>34</v>
      </c>
      <c r="X4" t="s">
        <v>51</v>
      </c>
      <c r="AA4" t="s">
        <v>52</v>
      </c>
      <c r="AB4" s="13" t="s">
        <v>55</v>
      </c>
      <c r="AC4" s="3">
        <v>11</v>
      </c>
    </row>
    <row r="5" spans="3:30" ht="12.75">
      <c r="C5">
        <f>8*3.14*0.001</f>
        <v>0.02512</v>
      </c>
      <c r="D5" s="4">
        <v>0.0003</v>
      </c>
      <c r="E5" s="4">
        <v>3</v>
      </c>
      <c r="G5">
        <f>SQRT(2*9.8*E5)</f>
        <v>7.6681158050723255</v>
      </c>
      <c r="H5">
        <f>D5/G5</f>
        <v>3.912303982179758E-05</v>
      </c>
      <c r="I5" s="4">
        <v>0.08</v>
      </c>
      <c r="J5">
        <f>$C$5*M5/1000/(3.14*L5^2/4)</f>
        <v>5.782171974522296</v>
      </c>
      <c r="K5">
        <f>3.14*L5^2/4</f>
        <v>7.850000000000001E-05</v>
      </c>
      <c r="L5">
        <v>0.01</v>
      </c>
      <c r="M5" s="6">
        <f>(2*9.8*$E$5*(3.14*L5^2/4)^2-$D$5^2)/2/$D$5/$C$5*1000</f>
        <v>18.069287420382178</v>
      </c>
      <c r="N5">
        <f>1/2*1000*M5/K5*$D$5^2</f>
        <v>10.358190240983411</v>
      </c>
      <c r="O5">
        <f>1000*M5*$D$5</f>
        <v>5.420786226114653</v>
      </c>
      <c r="P5">
        <f>O5/$I$5</f>
        <v>67.75982782643315</v>
      </c>
      <c r="Q5">
        <f>-J5+SQRT(J5^2+2*9.8*$E$5)</f>
        <v>3.821656050955413</v>
      </c>
      <c r="R5">
        <f aca="true" t="shared" si="0" ref="R5:R18">Q5*K5</f>
        <v>0.0003</v>
      </c>
      <c r="S5">
        <f>SQRT(J5^2+2*9.8*$E$5)</f>
        <v>9.603828025477709</v>
      </c>
      <c r="T5" s="6">
        <f>-M5/S5*LN(1-($T$4)/(-(1-$T$4)*Q5/2/S5+1))</f>
        <v>0.5110556054277481</v>
      </c>
      <c r="U5" s="6">
        <f aca="true" t="shared" si="1" ref="U5:U17">T$4*Q5</f>
        <v>0.7643312101910826</v>
      </c>
      <c r="V5">
        <f>0.5*M5*K5*1000*$T$4^2*Q5^2</f>
        <v>0.41432760963933657</v>
      </c>
      <c r="W5">
        <f>M5*K5*1000*$T$4*Q5</f>
        <v>1.0841572452229307</v>
      </c>
      <c r="X5">
        <f>K5*Q5*T5+2*M5*K5*LN(1-Q5*(1-EXP(-T5*S5/M5))/2/S5)</f>
        <v>1.5777588166857634E-05</v>
      </c>
      <c r="Y5" s="8">
        <f>W5/(X5*1000*9.8*E$5)</f>
        <v>2.337245489380437</v>
      </c>
      <c r="AA5" s="10">
        <f>W5/K5/I$5*10^-5</f>
        <v>1.726365040163902</v>
      </c>
      <c r="AB5" s="13">
        <f>V5/AA5*10^-5*10^6</f>
        <v>2.400000000000001</v>
      </c>
      <c r="AC5" s="6">
        <f>V5/$AC$4*10^-5*10^6</f>
        <v>0.3766614633084878</v>
      </c>
      <c r="AD5">
        <f aca="true" t="shared" si="2" ref="AD5:AD27">L5/0.001*1000*U5</f>
        <v>7643.312101910827</v>
      </c>
    </row>
    <row r="6" spans="10:30" ht="12.75">
      <c r="J6">
        <f aca="true" t="shared" si="3" ref="J6:J18">$C$5*M6/1000/(3.14*L6^2/4)</f>
        <v>9.750956093418262</v>
      </c>
      <c r="K6">
        <f aca="true" t="shared" si="4" ref="K6:K18">3.14*L6^2/4</f>
        <v>0.00011304</v>
      </c>
      <c r="L6">
        <v>0.012</v>
      </c>
      <c r="M6" s="6">
        <f aca="true" t="shared" si="5" ref="M6:M18">(2*9.8*$E$5*(3.14*L6^2/4)^2-$D$5^2)/2/$D$5/$C$5*1000</f>
        <v>43.879302420382174</v>
      </c>
      <c r="N6">
        <f aca="true" t="shared" si="6" ref="N6:N18">1/2*1000*M6/K6*$D$5^2</f>
        <v>17.46787516734959</v>
      </c>
      <c r="O6">
        <f aca="true" t="shared" si="7" ref="O6:O18">1000*M6*$D$5</f>
        <v>13.163790726114652</v>
      </c>
      <c r="P6">
        <f aca="true" t="shared" si="8" ref="P6:P18">O6/$I$5</f>
        <v>164.54738407643313</v>
      </c>
      <c r="Q6">
        <f aca="true" t="shared" si="9" ref="Q6:Q18">-J6+SQRT(J6^2+2*9.8*$E$5)</f>
        <v>2.653927813163481</v>
      </c>
      <c r="R6">
        <f t="shared" si="0"/>
        <v>0.00029999999999999987</v>
      </c>
      <c r="S6">
        <f aca="true" t="shared" si="10" ref="S6:S18">SQRT(J6^2+2*9.8*$E$5)</f>
        <v>12.404883906581743</v>
      </c>
      <c r="T6" s="6">
        <f>-M6/S6*LN(1-($T$4)/(-(1-$T$4)*Q6/2/S6+1))</f>
        <v>0.8730594983741645</v>
      </c>
      <c r="U6" s="6">
        <f t="shared" si="1"/>
        <v>0.5307855626326962</v>
      </c>
      <c r="V6">
        <f>0.5*M6*K6*1000*$T$4^2*Q6^2</f>
        <v>0.6987150066939832</v>
      </c>
      <c r="W6">
        <f aca="true" t="shared" si="11" ref="W6:W17">M6*K6*1000*$T$4*Q6</f>
        <v>2.6327581452229296</v>
      </c>
      <c r="X6">
        <f aca="true" t="shared" si="12" ref="X6:X18">K6*Q6*T6+2*M6*K6*LN(1-Q6*(1-EXP(-T6*S6/M6))/2/S6)</f>
        <v>2.706179703564757E-05</v>
      </c>
      <c r="Y6" s="8">
        <f aca="true" t="shared" si="13" ref="Y6:Y18">V6/(X6*1000*9.8*E$5)</f>
        <v>0.8782054097483336</v>
      </c>
      <c r="AA6" s="10">
        <f aca="true" t="shared" si="14" ref="AA6:AA18">W6/K6/I$5*10^-5</f>
        <v>2.911312527891598</v>
      </c>
      <c r="AB6" s="13">
        <f aca="true" t="shared" si="15" ref="AB6:AB18">V6/AA6*10^-5*10^6</f>
        <v>2.399999999999999</v>
      </c>
      <c r="AC6" s="6">
        <f aca="true" t="shared" si="16" ref="AC6:AC18">V6/$AC$4*10^-5*10^6</f>
        <v>0.6351954606308939</v>
      </c>
      <c r="AD6">
        <f t="shared" si="2"/>
        <v>6369.426751592354</v>
      </c>
    </row>
    <row r="7" spans="4:30" ht="12.75">
      <c r="D7" s="5" t="s">
        <v>32</v>
      </c>
      <c r="E7" t="s">
        <v>25</v>
      </c>
      <c r="H7">
        <f>2*SQRT(H5/3.14)</f>
        <v>0.007059622319141026</v>
      </c>
      <c r="I7" s="5" t="s">
        <v>28</v>
      </c>
      <c r="J7">
        <f t="shared" si="3"/>
        <v>11.870502529303135</v>
      </c>
      <c r="K7">
        <f t="shared" si="4"/>
        <v>0.000132665</v>
      </c>
      <c r="L7">
        <v>0.013</v>
      </c>
      <c r="M7" s="6">
        <f t="shared" si="5"/>
        <v>62.69109148288217</v>
      </c>
      <c r="N7">
        <f t="shared" si="6"/>
        <v>21.2648333526529</v>
      </c>
      <c r="O7">
        <f t="shared" si="7"/>
        <v>18.80732744486465</v>
      </c>
      <c r="P7">
        <f t="shared" si="8"/>
        <v>235.09159306080812</v>
      </c>
      <c r="Q7">
        <f t="shared" si="9"/>
        <v>2.261334941393736</v>
      </c>
      <c r="R7">
        <f t="shared" si="0"/>
        <v>0.0003</v>
      </c>
      <c r="S7">
        <f t="shared" si="10"/>
        <v>14.13183747069687</v>
      </c>
      <c r="T7" s="6">
        <f>-M7/S7*LN(1-($T$4)/(-(1-$T$4)*Q7/2/S7+1))</f>
        <v>1.0663966814100567</v>
      </c>
      <c r="U7" s="6">
        <f t="shared" si="1"/>
        <v>0.45226698827874723</v>
      </c>
      <c r="V7">
        <f>0.5*M7*K7*1000*$T$4^2*Q7^2</f>
        <v>0.8505933341061163</v>
      </c>
      <c r="W7">
        <f t="shared" si="11"/>
        <v>3.76146548897293</v>
      </c>
      <c r="X7">
        <f t="shared" si="12"/>
        <v>3.3088839125128234E-05</v>
      </c>
      <c r="Y7" s="8">
        <f t="shared" si="13"/>
        <v>0.8743657022424789</v>
      </c>
      <c r="AA7" s="10">
        <f t="shared" si="14"/>
        <v>3.5441388921088177</v>
      </c>
      <c r="AB7" s="13">
        <f t="shared" si="15"/>
        <v>2.4000000000000004</v>
      </c>
      <c r="AC7" s="6">
        <f t="shared" si="16"/>
        <v>0.7732666673691968</v>
      </c>
      <c r="AD7">
        <f t="shared" si="2"/>
        <v>5879.470847623714</v>
      </c>
    </row>
    <row r="8" spans="4:30" ht="12.75">
      <c r="D8" s="5"/>
      <c r="E8" t="s">
        <v>26</v>
      </c>
      <c r="I8" s="5" t="s">
        <v>27</v>
      </c>
      <c r="J8">
        <f t="shared" si="3"/>
        <v>14.103367742103215</v>
      </c>
      <c r="K8">
        <f t="shared" si="4"/>
        <v>0.00015386000000000002</v>
      </c>
      <c r="L8">
        <v>0.014</v>
      </c>
      <c r="M8" s="6">
        <f t="shared" si="5"/>
        <v>86.38312742038221</v>
      </c>
      <c r="N8">
        <f t="shared" si="6"/>
        <v>25.26479093927725</v>
      </c>
      <c r="O8">
        <f t="shared" si="7"/>
        <v>25.91493822611466</v>
      </c>
      <c r="P8">
        <f t="shared" si="8"/>
        <v>323.93672782643324</v>
      </c>
      <c r="Q8">
        <f t="shared" si="9"/>
        <v>1.949824515793578</v>
      </c>
      <c r="R8">
        <f t="shared" si="0"/>
        <v>0.0003</v>
      </c>
      <c r="S8">
        <f t="shared" si="10"/>
        <v>16.053192257896793</v>
      </c>
      <c r="T8" s="6">
        <f aca="true" t="shared" si="17" ref="T8:T17">-M8/S8*LN(1-($T$4)/(-(1-$T$4)*Q8/2/S8+1))</f>
        <v>1.2698861865053812</v>
      </c>
      <c r="U8" s="6">
        <f t="shared" si="1"/>
        <v>0.3899649031587156</v>
      </c>
      <c r="V8">
        <f>0.5*M8*K8*1000*$T$4^2*Q8^2</f>
        <v>1.0105916375710902</v>
      </c>
      <c r="W8">
        <f t="shared" si="11"/>
        <v>5.182987645222932</v>
      </c>
      <c r="X8">
        <f t="shared" si="12"/>
        <v>3.9430729354468985E-05</v>
      </c>
      <c r="Y8" s="8">
        <f t="shared" si="13"/>
        <v>0.8717532185239839</v>
      </c>
      <c r="AA8" s="10">
        <f t="shared" si="14"/>
        <v>4.210798489879543</v>
      </c>
      <c r="AB8" s="13">
        <f t="shared" si="15"/>
        <v>2.4</v>
      </c>
      <c r="AC8" s="6">
        <f t="shared" si="16"/>
        <v>0.9187196705191729</v>
      </c>
      <c r="AD8">
        <f t="shared" si="2"/>
        <v>5459.508644222019</v>
      </c>
    </row>
    <row r="9" spans="4:30" ht="12.75">
      <c r="D9" s="5" t="s">
        <v>35</v>
      </c>
      <c r="E9" s="5" t="s">
        <v>38</v>
      </c>
      <c r="J9">
        <f t="shared" si="3"/>
        <v>16.459993099787688</v>
      </c>
      <c r="K9">
        <f t="shared" si="4"/>
        <v>0.000176625</v>
      </c>
      <c r="L9">
        <v>0.015</v>
      </c>
      <c r="M9" s="6">
        <f t="shared" si="5"/>
        <v>115.73432648288218</v>
      </c>
      <c r="N9">
        <f t="shared" si="6"/>
        <v>29.48645260710374</v>
      </c>
      <c r="O9">
        <f t="shared" si="7"/>
        <v>34.720297944864654</v>
      </c>
      <c r="P9">
        <f t="shared" si="8"/>
        <v>434.0037243108082</v>
      </c>
      <c r="Q9">
        <f t="shared" si="9"/>
        <v>1.698513800424628</v>
      </c>
      <c r="R9">
        <f t="shared" si="0"/>
        <v>0.0002999999999999999</v>
      </c>
      <c r="S9">
        <f t="shared" si="10"/>
        <v>18.158506900212316</v>
      </c>
      <c r="T9" s="6">
        <f t="shared" si="17"/>
        <v>1.4844560281702064</v>
      </c>
      <c r="U9" s="6">
        <f t="shared" si="1"/>
        <v>0.3397027600849256</v>
      </c>
      <c r="V9">
        <f aca="true" t="shared" si="18" ref="V9:V18">0.5*M9*K9*1000*$T$4^2*Q9^2</f>
        <v>1.1794581042841492</v>
      </c>
      <c r="W9">
        <f t="shared" si="11"/>
        <v>6.944059588972928</v>
      </c>
      <c r="X9">
        <f t="shared" si="12"/>
        <v>4.611612153310174E-05</v>
      </c>
      <c r="Y9" s="8">
        <f t="shared" si="13"/>
        <v>0.8699262050019293</v>
      </c>
      <c r="AA9" s="10">
        <f t="shared" si="14"/>
        <v>4.914408767850622</v>
      </c>
      <c r="AB9" s="13">
        <f t="shared" si="15"/>
        <v>2.4000000000000004</v>
      </c>
      <c r="AC9" s="6">
        <f t="shared" si="16"/>
        <v>1.0722346402583174</v>
      </c>
      <c r="AD9">
        <f t="shared" si="2"/>
        <v>5095.541401273884</v>
      </c>
    </row>
    <row r="10" spans="4:30" ht="12.75">
      <c r="D10" s="5" t="s">
        <v>36</v>
      </c>
      <c r="E10" s="5" t="s">
        <v>39</v>
      </c>
      <c r="I10" s="5" t="s">
        <v>38</v>
      </c>
      <c r="J10">
        <f t="shared" si="3"/>
        <v>18.947662802547775</v>
      </c>
      <c r="K10">
        <f t="shared" si="4"/>
        <v>0.00020096</v>
      </c>
      <c r="L10">
        <v>0.016</v>
      </c>
      <c r="M10" s="6">
        <f t="shared" si="5"/>
        <v>151.5813024203822</v>
      </c>
      <c r="N10">
        <f t="shared" si="6"/>
        <v>33.94286728163415</v>
      </c>
      <c r="O10">
        <f t="shared" si="7"/>
        <v>45.47439072611466</v>
      </c>
      <c r="P10">
        <f t="shared" si="8"/>
        <v>568.4298840764333</v>
      </c>
      <c r="Q10">
        <f t="shared" si="9"/>
        <v>1.4928343949044596</v>
      </c>
      <c r="R10">
        <f t="shared" si="0"/>
        <v>0.0003000000000000002</v>
      </c>
      <c r="S10">
        <f t="shared" si="10"/>
        <v>20.440497197452235</v>
      </c>
      <c r="T10" s="6">
        <f t="shared" si="17"/>
        <v>1.7107735179890406</v>
      </c>
      <c r="U10" s="6">
        <f t="shared" si="1"/>
        <v>0.2985668789808919</v>
      </c>
      <c r="V10">
        <f t="shared" si="18"/>
        <v>1.3577146912653681</v>
      </c>
      <c r="W10">
        <f t="shared" si="11"/>
        <v>9.094878145222939</v>
      </c>
      <c r="X10">
        <f t="shared" si="12"/>
        <v>5.3165820754616055E-05</v>
      </c>
      <c r="Y10" s="8">
        <f t="shared" si="13"/>
        <v>0.8686176787318313</v>
      </c>
      <c r="AA10" s="10">
        <f t="shared" si="14"/>
        <v>5.657144546939029</v>
      </c>
      <c r="AB10" s="13">
        <f t="shared" si="15"/>
        <v>2.4000000000000026</v>
      </c>
      <c r="AC10" s="6">
        <f t="shared" si="16"/>
        <v>1.2342860829685167</v>
      </c>
      <c r="AD10">
        <f t="shared" si="2"/>
        <v>4777.07006369427</v>
      </c>
    </row>
    <row r="11" spans="4:30" ht="12.75">
      <c r="D11" s="5" t="s">
        <v>37</v>
      </c>
      <c r="I11" s="5" t="s">
        <v>39</v>
      </c>
      <c r="J11">
        <f t="shared" si="3"/>
        <v>21.571583832014646</v>
      </c>
      <c r="K11">
        <f t="shared" si="4"/>
        <v>0.00022686500000000003</v>
      </c>
      <c r="L11">
        <v>0.017</v>
      </c>
      <c r="M11" s="6">
        <f t="shared" si="5"/>
        <v>194.81836648288228</v>
      </c>
      <c r="N11">
        <f t="shared" si="6"/>
        <v>38.64336275639565</v>
      </c>
      <c r="O11">
        <f t="shared" si="7"/>
        <v>58.44550994486468</v>
      </c>
      <c r="P11">
        <f t="shared" si="8"/>
        <v>730.5688743108085</v>
      </c>
      <c r="Q11">
        <f t="shared" si="9"/>
        <v>1.32237233597073</v>
      </c>
      <c r="R11">
        <f t="shared" si="0"/>
        <v>0.0002999999999999997</v>
      </c>
      <c r="S11">
        <f t="shared" si="10"/>
        <v>22.893956167985376</v>
      </c>
      <c r="T11" s="6">
        <f t="shared" si="17"/>
        <v>1.9493258516114962</v>
      </c>
      <c r="U11" s="6">
        <f t="shared" si="1"/>
        <v>0.264474467194146</v>
      </c>
      <c r="V11">
        <f t="shared" si="18"/>
        <v>1.5457345102558235</v>
      </c>
      <c r="W11">
        <f t="shared" si="11"/>
        <v>11.689101988972924</v>
      </c>
      <c r="X11">
        <f t="shared" si="12"/>
        <v>6.0595117120164246E-05</v>
      </c>
      <c r="Y11" s="8">
        <f t="shared" si="13"/>
        <v>0.8676607332227163</v>
      </c>
      <c r="AA11" s="10">
        <f t="shared" si="14"/>
        <v>6.440560459399269</v>
      </c>
      <c r="AB11" s="13">
        <f t="shared" si="15"/>
        <v>2.3999999999999986</v>
      </c>
      <c r="AC11" s="6">
        <f t="shared" si="16"/>
        <v>1.4052131911416579</v>
      </c>
      <c r="AD11">
        <f t="shared" si="2"/>
        <v>4496.065942300483</v>
      </c>
    </row>
    <row r="12" spans="10:30" ht="12.75">
      <c r="J12">
        <f t="shared" si="3"/>
        <v>24.335558263741447</v>
      </c>
      <c r="K12">
        <f t="shared" si="4"/>
        <v>0.00025434</v>
      </c>
      <c r="L12">
        <v>0.018</v>
      </c>
      <c r="M12" s="6">
        <f t="shared" si="5"/>
        <v>246.39752742038215</v>
      </c>
      <c r="N12">
        <f t="shared" si="6"/>
        <v>43.594750074377586</v>
      </c>
      <c r="O12">
        <f t="shared" si="7"/>
        <v>73.91925822611464</v>
      </c>
      <c r="P12">
        <f t="shared" si="8"/>
        <v>923.9907278264329</v>
      </c>
      <c r="Q12">
        <f t="shared" si="9"/>
        <v>1.1795234725171007</v>
      </c>
      <c r="R12">
        <f t="shared" si="0"/>
        <v>0.0002999999999999994</v>
      </c>
      <c r="S12">
        <f t="shared" si="10"/>
        <v>25.515081736258548</v>
      </c>
      <c r="T12" s="6">
        <f t="shared" si="17"/>
        <v>2.2004741907906005</v>
      </c>
      <c r="U12" s="6">
        <f t="shared" si="1"/>
        <v>0.23590469450342014</v>
      </c>
      <c r="V12">
        <f t="shared" si="18"/>
        <v>1.7437900029750968</v>
      </c>
      <c r="W12">
        <f t="shared" si="11"/>
        <v>14.7838516452229</v>
      </c>
      <c r="X12">
        <f t="shared" si="12"/>
        <v>6.841539802883423E-05</v>
      </c>
      <c r="Y12" s="8">
        <f t="shared" si="13"/>
        <v>0.8669478924935815</v>
      </c>
      <c r="AA12" s="10">
        <f t="shared" si="14"/>
        <v>7.265791679062918</v>
      </c>
      <c r="AB12" s="13">
        <f t="shared" si="15"/>
        <v>2.399999999999995</v>
      </c>
      <c r="AC12" s="6">
        <f t="shared" si="16"/>
        <v>1.5852636390682697</v>
      </c>
      <c r="AD12">
        <f t="shared" si="2"/>
        <v>4246.284501061563</v>
      </c>
    </row>
    <row r="13" spans="10:30" ht="12.75">
      <c r="J13">
        <f t="shared" si="3"/>
        <v>27.2424147574854</v>
      </c>
      <c r="K13">
        <f t="shared" si="4"/>
        <v>0.000283385</v>
      </c>
      <c r="L13">
        <v>0.019</v>
      </c>
      <c r="M13" s="6">
        <f t="shared" si="5"/>
        <v>307.32849148288216</v>
      </c>
      <c r="N13">
        <f t="shared" si="6"/>
        <v>48.802096500272405</v>
      </c>
      <c r="O13">
        <f t="shared" si="7"/>
        <v>92.19854744486464</v>
      </c>
      <c r="P13">
        <f t="shared" si="8"/>
        <v>1152.481843060808</v>
      </c>
      <c r="Q13">
        <f t="shared" si="9"/>
        <v>1.0586304850292017</v>
      </c>
      <c r="R13">
        <f t="shared" si="0"/>
        <v>0.0003000000000000003</v>
      </c>
      <c r="S13">
        <f t="shared" si="10"/>
        <v>28.3010452425146</v>
      </c>
      <c r="T13" s="6">
        <f t="shared" si="17"/>
        <v>2.4644902199044463</v>
      </c>
      <c r="U13" s="6">
        <f t="shared" si="1"/>
        <v>0.21172609700584033</v>
      </c>
      <c r="V13">
        <f t="shared" si="18"/>
        <v>1.9520838600109007</v>
      </c>
      <c r="W13">
        <f t="shared" si="11"/>
        <v>18.439709488972948</v>
      </c>
      <c r="X13">
        <f t="shared" si="12"/>
        <v>7.663525844822194E-05</v>
      </c>
      <c r="Y13" s="8">
        <f t="shared" si="13"/>
        <v>0.866408120086309</v>
      </c>
      <c r="AA13" s="10">
        <f t="shared" si="14"/>
        <v>8.133682750045411</v>
      </c>
      <c r="AB13" s="13">
        <f t="shared" si="15"/>
        <v>2.400000000000003</v>
      </c>
      <c r="AC13" s="6">
        <f t="shared" si="16"/>
        <v>1.774621690919001</v>
      </c>
      <c r="AD13">
        <f t="shared" si="2"/>
        <v>4022.7958431109664</v>
      </c>
    </row>
    <row r="14" spans="10:30" ht="12.75">
      <c r="J14">
        <f t="shared" si="3"/>
        <v>30.294292993630584</v>
      </c>
      <c r="K14">
        <f t="shared" si="4"/>
        <v>0.00031400000000000004</v>
      </c>
      <c r="L14" s="1">
        <v>0.02</v>
      </c>
      <c r="M14" s="6">
        <f t="shared" si="5"/>
        <v>378.6786624203824</v>
      </c>
      <c r="N14">
        <f t="shared" si="6"/>
        <v>54.26923506024587</v>
      </c>
      <c r="O14">
        <f t="shared" si="7"/>
        <v>113.60359872611473</v>
      </c>
      <c r="P14">
        <f t="shared" si="8"/>
        <v>1420.044984076434</v>
      </c>
      <c r="Q14" s="2">
        <f t="shared" si="9"/>
        <v>0.9554140127388528</v>
      </c>
      <c r="R14">
        <f t="shared" si="0"/>
        <v>0.0002999999999999998</v>
      </c>
      <c r="S14">
        <f t="shared" si="10"/>
        <v>31.249707006369437</v>
      </c>
      <c r="T14" s="6">
        <f t="shared" si="17"/>
        <v>2.741581151238568</v>
      </c>
      <c r="U14" s="6">
        <f t="shared" si="1"/>
        <v>0.19108280254777057</v>
      </c>
      <c r="V14">
        <f t="shared" si="18"/>
        <v>2.1707694024098334</v>
      </c>
      <c r="W14">
        <f t="shared" si="11"/>
        <v>22.720719745222933</v>
      </c>
      <c r="X14">
        <f t="shared" si="12"/>
        <v>8.52612699890243E-05</v>
      </c>
      <c r="Y14" s="8">
        <f t="shared" si="13"/>
        <v>0.8659933633292469</v>
      </c>
      <c r="AA14" s="10">
        <f t="shared" si="14"/>
        <v>9.044872510040976</v>
      </c>
      <c r="AB14" s="13">
        <f t="shared" si="15"/>
        <v>2.3999999999999995</v>
      </c>
      <c r="AC14" s="6">
        <f t="shared" si="16"/>
        <v>1.9734267294634853</v>
      </c>
      <c r="AD14">
        <f t="shared" si="2"/>
        <v>3821.6560509554115</v>
      </c>
    </row>
    <row r="15" spans="10:30" ht="12.75">
      <c r="J15">
        <f t="shared" si="3"/>
        <v>33.492835663156995</v>
      </c>
      <c r="K15">
        <f t="shared" si="4"/>
        <v>0.00034618500000000005</v>
      </c>
      <c r="L15">
        <v>0.021</v>
      </c>
      <c r="M15" s="6">
        <f t="shared" si="5"/>
        <v>461.57314148288236</v>
      </c>
      <c r="N15">
        <f t="shared" si="6"/>
        <v>59.99910847301212</v>
      </c>
      <c r="O15">
        <f t="shared" si="7"/>
        <v>138.4719424448647</v>
      </c>
      <c r="P15">
        <f t="shared" si="8"/>
        <v>1730.8992805608088</v>
      </c>
      <c r="Q15">
        <f t="shared" si="9"/>
        <v>0.8665886736860315</v>
      </c>
      <c r="R15">
        <f t="shared" si="0"/>
        <v>0.0002999999999999989</v>
      </c>
      <c r="S15">
        <f t="shared" si="10"/>
        <v>34.35942433684303</v>
      </c>
      <c r="T15" s="6">
        <f t="shared" si="17"/>
        <v>3.031907065955766</v>
      </c>
      <c r="U15" s="6">
        <f t="shared" si="1"/>
        <v>0.17331773473720632</v>
      </c>
      <c r="V15">
        <f t="shared" si="18"/>
        <v>2.3999643389204675</v>
      </c>
      <c r="W15">
        <f t="shared" si="11"/>
        <v>27.69438848897284</v>
      </c>
      <c r="X15">
        <f t="shared" si="12"/>
        <v>9.429851901940507E-05</v>
      </c>
      <c r="Y15" s="8">
        <f t="shared" si="13"/>
        <v>0.8656704362720398</v>
      </c>
      <c r="AA15" s="10">
        <f t="shared" si="14"/>
        <v>9.999851412168653</v>
      </c>
      <c r="AB15" s="13">
        <f t="shared" si="15"/>
        <v>2.399999999999991</v>
      </c>
      <c r="AC15" s="6">
        <f t="shared" si="16"/>
        <v>2.1817857626549704</v>
      </c>
      <c r="AD15">
        <f t="shared" si="2"/>
        <v>3639.672429481333</v>
      </c>
    </row>
    <row r="16" spans="10:30" ht="12.75">
      <c r="J16">
        <f t="shared" si="3"/>
        <v>36.8393208211823</v>
      </c>
      <c r="K16">
        <f t="shared" si="4"/>
        <v>0.00037994</v>
      </c>
      <c r="L16">
        <v>0.022</v>
      </c>
      <c r="M16" s="6">
        <f t="shared" si="5"/>
        <v>557.1947274203823</v>
      </c>
      <c r="N16">
        <f t="shared" si="6"/>
        <v>65.99400624813707</v>
      </c>
      <c r="O16">
        <f t="shared" si="7"/>
        <v>167.1584182261147</v>
      </c>
      <c r="P16">
        <f t="shared" si="8"/>
        <v>2089.4802278264337</v>
      </c>
      <c r="Q16">
        <f t="shared" si="9"/>
        <v>0.7895983576354126</v>
      </c>
      <c r="R16">
        <f t="shared" si="0"/>
        <v>0.00029999999999999867</v>
      </c>
      <c r="S16">
        <f t="shared" si="10"/>
        <v>37.62891917881771</v>
      </c>
      <c r="T16" s="6">
        <f t="shared" si="17"/>
        <v>3.3355931128319276</v>
      </c>
      <c r="U16" s="6">
        <f t="shared" si="1"/>
        <v>0.15791967152708253</v>
      </c>
      <c r="V16">
        <f t="shared" si="18"/>
        <v>2.6397602499254607</v>
      </c>
      <c r="W16">
        <f t="shared" si="11"/>
        <v>33.43168364522279</v>
      </c>
      <c r="X16">
        <f t="shared" si="12"/>
        <v>0.00010375098767062638</v>
      </c>
      <c r="Y16" s="8">
        <f t="shared" si="13"/>
        <v>0.8654159889826979</v>
      </c>
      <c r="AA16" s="10">
        <f t="shared" si="14"/>
        <v>10.999001041356133</v>
      </c>
      <c r="AB16" s="13">
        <f t="shared" si="15"/>
        <v>2.39999999999999</v>
      </c>
      <c r="AC16" s="6">
        <f t="shared" si="16"/>
        <v>2.3997820453867824</v>
      </c>
      <c r="AD16">
        <f t="shared" si="2"/>
        <v>3474.2327735958156</v>
      </c>
    </row>
    <row r="17" spans="10:30" ht="12.75">
      <c r="J17">
        <f t="shared" si="3"/>
        <v>40.33475487231046</v>
      </c>
      <c r="K17">
        <f t="shared" si="4"/>
        <v>0.000415265</v>
      </c>
      <c r="L17">
        <v>0.023</v>
      </c>
      <c r="M17" s="6">
        <f t="shared" si="5"/>
        <v>666.7839164828824</v>
      </c>
      <c r="N17">
        <f t="shared" si="6"/>
        <v>72.2557312601103</v>
      </c>
      <c r="O17">
        <f t="shared" si="7"/>
        <v>200.0351749448647</v>
      </c>
      <c r="P17">
        <f t="shared" si="8"/>
        <v>2500.439686810809</v>
      </c>
      <c r="Q17">
        <f t="shared" si="9"/>
        <v>0.7224302553790949</v>
      </c>
      <c r="R17">
        <f t="shared" si="0"/>
        <v>0.00029999999999999987</v>
      </c>
      <c r="S17">
        <f t="shared" si="10"/>
        <v>41.05718512768956</v>
      </c>
      <c r="T17" s="6">
        <f t="shared" si="17"/>
        <v>3.652738211524214</v>
      </c>
      <c r="U17" s="6">
        <f t="shared" si="1"/>
        <v>0.144486051075819</v>
      </c>
      <c r="V17">
        <f t="shared" si="18"/>
        <v>2.8902292504044103</v>
      </c>
      <c r="W17">
        <f t="shared" si="11"/>
        <v>40.007034988972926</v>
      </c>
      <c r="X17">
        <f t="shared" si="12"/>
        <v>0.00011362182698700313</v>
      </c>
      <c r="Y17" s="8">
        <f t="shared" si="13"/>
        <v>0.8652133130365813</v>
      </c>
      <c r="AA17" s="10">
        <f t="shared" si="14"/>
        <v>12.042621876685047</v>
      </c>
      <c r="AB17" s="13">
        <f t="shared" si="15"/>
        <v>2.3999999999999995</v>
      </c>
      <c r="AC17" s="6">
        <f t="shared" si="16"/>
        <v>2.6274811367312827</v>
      </c>
      <c r="AD17">
        <f t="shared" si="2"/>
        <v>3323.179174743837</v>
      </c>
    </row>
    <row r="18" spans="10:30" ht="12.75">
      <c r="J18">
        <f t="shared" si="3"/>
        <v>43.979939023354575</v>
      </c>
      <c r="K18">
        <f t="shared" si="4"/>
        <v>0.00045216</v>
      </c>
      <c r="L18">
        <v>0.024</v>
      </c>
      <c r="M18" s="6">
        <f t="shared" si="5"/>
        <v>791.6389024203825</v>
      </c>
      <c r="N18">
        <f t="shared" si="6"/>
        <v>78.78571879183741</v>
      </c>
      <c r="O18">
        <f t="shared" si="7"/>
        <v>237.49167072611473</v>
      </c>
      <c r="P18">
        <f t="shared" si="8"/>
        <v>2968.645884076434</v>
      </c>
      <c r="Q18">
        <f t="shared" si="9"/>
        <v>0.6634819532908693</v>
      </c>
      <c r="R18">
        <f t="shared" si="0"/>
        <v>0.0002999999999999995</v>
      </c>
      <c r="S18">
        <f t="shared" si="10"/>
        <v>44.643420976645444</v>
      </c>
      <c r="T18" s="6">
        <f>-M18/S18*LN(1-($T$4)/(-(1-$T$4)*Q18/2/S18+1))</f>
        <v>3.9834213469636897</v>
      </c>
      <c r="U18" s="6">
        <f>T$4*Q18</f>
        <v>0.13269639065817387</v>
      </c>
      <c r="V18">
        <f t="shared" si="18"/>
        <v>3.1514287516734867</v>
      </c>
      <c r="W18">
        <f>M18*K18*1000*$T$4*Q18</f>
        <v>47.49833414522287</v>
      </c>
      <c r="X18">
        <f t="shared" si="12"/>
        <v>0.00012391355520399998</v>
      </c>
      <c r="Y18" s="8">
        <f t="shared" si="13"/>
        <v>0.8650502680040429</v>
      </c>
      <c r="AA18" s="10">
        <f t="shared" si="14"/>
        <v>13.130953131972882</v>
      </c>
      <c r="AB18" s="13">
        <f t="shared" si="15"/>
        <v>2.399999999999996</v>
      </c>
      <c r="AC18" s="6">
        <f t="shared" si="16"/>
        <v>2.8649352287940792</v>
      </c>
      <c r="AD18" t="e">
        <f>L18/0.001*1000*#REF!</f>
        <v>#REF!</v>
      </c>
    </row>
    <row r="19" spans="2:30" ht="15.75">
      <c r="B19" s="7" t="s">
        <v>41</v>
      </c>
      <c r="C19" s="7"/>
      <c r="AB19" s="14" t="s">
        <v>53</v>
      </c>
      <c r="AC19" s="5" t="s">
        <v>53</v>
      </c>
      <c r="AD19">
        <f t="shared" si="2"/>
        <v>0</v>
      </c>
    </row>
    <row r="20" spans="2:30" ht="15.75">
      <c r="B20" s="7" t="s">
        <v>42</v>
      </c>
      <c r="C20" s="7"/>
      <c r="F20">
        <f>Q14*K14*T14</f>
        <v>0.0008224743453715699</v>
      </c>
      <c r="AD20">
        <f t="shared" si="2"/>
        <v>0</v>
      </c>
    </row>
    <row r="21" ht="12.75">
      <c r="AD21">
        <f t="shared" si="2"/>
        <v>0</v>
      </c>
    </row>
    <row r="22" ht="12.75">
      <c r="AD22">
        <f t="shared" si="2"/>
        <v>0</v>
      </c>
    </row>
    <row r="23" spans="6:31" ht="12.75">
      <c r="F23">
        <f>0.5*M14*K14*1000*0.49*Q14^2</f>
        <v>26.59192517952045</v>
      </c>
      <c r="J23" s="5" t="s">
        <v>30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>
        <f t="shared" si="2"/>
        <v>0</v>
      </c>
      <c r="AE23" s="5"/>
    </row>
    <row r="24" ht="12.75">
      <c r="AD24">
        <f t="shared" si="2"/>
        <v>0</v>
      </c>
    </row>
    <row r="25" spans="28:30" ht="12.75">
      <c r="AB25" s="12" t="s">
        <v>54</v>
      </c>
      <c r="AC25" s="11" t="s">
        <v>54</v>
      </c>
      <c r="AD25">
        <f t="shared" si="2"/>
        <v>0</v>
      </c>
    </row>
    <row r="26" spans="10:30" ht="12.75">
      <c r="J26" t="s">
        <v>7</v>
      </c>
      <c r="K26" t="s">
        <v>9</v>
      </c>
      <c r="L26" t="s">
        <v>11</v>
      </c>
      <c r="M26" t="s">
        <v>12</v>
      </c>
      <c r="N26" t="s">
        <v>13</v>
      </c>
      <c r="O26" t="s">
        <v>5</v>
      </c>
      <c r="P26" t="s">
        <v>14</v>
      </c>
      <c r="Q26" t="s">
        <v>3</v>
      </c>
      <c r="R26" t="s">
        <v>1</v>
      </c>
      <c r="S26" t="s">
        <v>43</v>
      </c>
      <c r="T26" s="9" t="s">
        <v>45</v>
      </c>
      <c r="U26" s="20" t="s">
        <v>58</v>
      </c>
      <c r="V26" t="s">
        <v>50</v>
      </c>
      <c r="W26" t="s">
        <v>5</v>
      </c>
      <c r="X26" t="s">
        <v>46</v>
      </c>
      <c r="Y26" t="s">
        <v>44</v>
      </c>
      <c r="AA26" t="s">
        <v>10</v>
      </c>
      <c r="AB26" t="s">
        <v>15</v>
      </c>
      <c r="AC26" t="s">
        <v>16</v>
      </c>
      <c r="AD26" t="e">
        <f t="shared" si="2"/>
        <v>#VALUE!</v>
      </c>
    </row>
    <row r="27" spans="11:30" ht="12.75">
      <c r="K27" t="s">
        <v>29</v>
      </c>
      <c r="L27" s="13" t="s">
        <v>18</v>
      </c>
      <c r="M27" s="13" t="s">
        <v>18</v>
      </c>
      <c r="N27" t="s">
        <v>19</v>
      </c>
      <c r="O27" t="s">
        <v>20</v>
      </c>
      <c r="P27" t="s">
        <v>21</v>
      </c>
      <c r="Q27" t="s">
        <v>22</v>
      </c>
      <c r="R27" t="s">
        <v>23</v>
      </c>
      <c r="T27" s="15">
        <v>0.25</v>
      </c>
      <c r="U27" s="15"/>
      <c r="V27" t="s">
        <v>34</v>
      </c>
      <c r="X27" t="s">
        <v>51</v>
      </c>
      <c r="AA27" t="s">
        <v>57</v>
      </c>
      <c r="AB27" t="s">
        <v>17</v>
      </c>
      <c r="AC27" s="3">
        <v>11</v>
      </c>
      <c r="AD27" t="e">
        <f t="shared" si="2"/>
        <v>#VALUE!</v>
      </c>
    </row>
    <row r="28" spans="10:30" ht="15.75">
      <c r="J28">
        <f aca="true" t="shared" si="19" ref="J28:J37">$C$5*M28/1000/(3.14*L28^2/4)</f>
        <v>208.00000000000045</v>
      </c>
      <c r="K28">
        <f aca="true" t="shared" si="20" ref="K28:K37">3.14*L28^2/4</f>
        <v>7.849999999999983E-07</v>
      </c>
      <c r="L28">
        <v>0.000999999999999999</v>
      </c>
      <c r="M28" s="4">
        <v>6.5</v>
      </c>
      <c r="N28">
        <f>1/2*1000*M28/K28*R28^2</f>
        <v>5.093614047954208E-05</v>
      </c>
      <c r="O28">
        <f aca="true" t="shared" si="21" ref="O28:O37">1000*M28*R28</f>
        <v>0.0007209738647092042</v>
      </c>
      <c r="P28">
        <f aca="true" t="shared" si="22" ref="P28:P37">O28/$I$5</f>
        <v>0.009012173308865052</v>
      </c>
      <c r="Q28">
        <f aca="true" t="shared" si="23" ref="Q28:Q37">-J28+SQRT(J28^2+2*9.8*$E$5)</f>
        <v>0.14129816064854595</v>
      </c>
      <c r="R28">
        <f aca="true" t="shared" si="24" ref="R28:R37">Q28*K28</f>
        <v>1.1091905610910833E-07</v>
      </c>
      <c r="S28">
        <f aca="true" t="shared" si="25" ref="S28:S41">SQRT(J28^2+2*9.8*$E$5)</f>
        <v>208.141298160649</v>
      </c>
      <c r="T28" s="6">
        <f>-M28/S28*LN(1-($T$27)/(-(1-$T$27)*Q28/2/S28+1))</f>
        <v>0.00898661256838229</v>
      </c>
      <c r="U28" s="6">
        <f>T$27*Q28</f>
        <v>0.035324540162136486</v>
      </c>
      <c r="V28">
        <f>0.5*M28*K28*1000*$T$27^2*Q28^2</f>
        <v>3.1835087799713798E-06</v>
      </c>
      <c r="W28">
        <f>M28*K28*1000*$T$27*Q28</f>
        <v>0.00018024346617730104</v>
      </c>
      <c r="X28">
        <f aca="true" t="shared" si="26" ref="X28:X41">K28*Q28*T28+2*M28*K28*LN(1-Q28*(1-EXP(-T28*S28/M28))/2/S28)</f>
        <v>1.305624557927121E-10</v>
      </c>
      <c r="Y28" s="8">
        <f aca="true" t="shared" si="27" ref="Y28:Y41">V28/(X28*1000*9.8*E$5)</f>
        <v>0.829354893075599</v>
      </c>
      <c r="AA28" s="16">
        <f>W28/K28*10^-5/I$5</f>
        <v>0.028701188881735895</v>
      </c>
      <c r="AB28" s="6">
        <f>V28/AA28*10</f>
        <v>0.0011091905610910832</v>
      </c>
      <c r="AC28" s="6">
        <f>V28/$AC$27*10</f>
        <v>2.894098890883073E-06</v>
      </c>
      <c r="AD28" s="22">
        <f aca="true" t="shared" si="28" ref="AD28:AD51">L28/0.001*1000*U28</f>
        <v>35.324540162136444</v>
      </c>
    </row>
    <row r="29" spans="10:30" ht="15.75">
      <c r="J29">
        <f t="shared" si="19"/>
        <v>52.00000000000052</v>
      </c>
      <c r="K29">
        <f t="shared" si="20"/>
        <v>3.1399999999999687E-06</v>
      </c>
      <c r="L29">
        <v>0.00199999999999999</v>
      </c>
      <c r="M29" s="4">
        <v>6.5</v>
      </c>
      <c r="N29">
        <f aca="true" t="shared" si="29" ref="N29:N51">1/2*1000*M29/K29*R29^2</f>
        <v>0.0032271343124815137</v>
      </c>
      <c r="O29">
        <f t="shared" si="21"/>
        <v>0.01147743972475979</v>
      </c>
      <c r="P29">
        <f t="shared" si="22"/>
        <v>0.14346799655949735</v>
      </c>
      <c r="Q29">
        <f t="shared" si="23"/>
        <v>0.562343935559035</v>
      </c>
      <c r="R29">
        <f t="shared" si="24"/>
        <v>1.7657599576553522E-06</v>
      </c>
      <c r="S29">
        <f t="shared" si="25"/>
        <v>52.562343935559554</v>
      </c>
      <c r="T29" s="6">
        <f aca="true" t="shared" si="30" ref="T29:T51">-M29/S29*LN(1-($T$27)/(-(1-$T$27)*Q29/2/S29+1))</f>
        <v>0.03574168937873852</v>
      </c>
      <c r="U29" s="6">
        <f aca="true" t="shared" si="31" ref="U29:U61">T$27*Q29</f>
        <v>0.14058598388975874</v>
      </c>
      <c r="V29">
        <f aca="true" t="shared" si="32" ref="V29:V51">0.5*M29*K29*1000*$T$27^2*Q29^2</f>
        <v>0.00020169589453009458</v>
      </c>
      <c r="W29">
        <f aca="true" t="shared" si="33" ref="W29:W51">M29*K29*1000*$T$27*Q29</f>
        <v>0.0028693599311899473</v>
      </c>
      <c r="X29">
        <f t="shared" si="26"/>
        <v>8.26487003679214E-09</v>
      </c>
      <c r="Y29" s="8">
        <f t="shared" si="27"/>
        <v>0.8300680525299946</v>
      </c>
      <c r="AA29" s="16">
        <f aca="true" t="shared" si="34" ref="AA29:AA51">W29/K29*10^-5/I$5</f>
        <v>0.11422611191042899</v>
      </c>
      <c r="AB29" s="6">
        <f aca="true" t="shared" si="35" ref="AB29:AB51">V29/AA29*10</f>
        <v>0.01765759957655352</v>
      </c>
      <c r="AC29" s="6">
        <f aca="true" t="shared" si="36" ref="AC29:AC51">V29/$AC$27*10</f>
        <v>0.0001833599041182678</v>
      </c>
      <c r="AD29" s="22">
        <f>L29/0.001*1000*U18</f>
        <v>265.39278131634643</v>
      </c>
    </row>
    <row r="30" spans="10:30" ht="15.75">
      <c r="J30">
        <f t="shared" si="19"/>
        <v>23.111111111111263</v>
      </c>
      <c r="K30">
        <f t="shared" si="20"/>
        <v>7.0649999999999535E-06</v>
      </c>
      <c r="L30">
        <v>0.00299999999999999</v>
      </c>
      <c r="M30" s="4">
        <v>6.5</v>
      </c>
      <c r="N30">
        <f t="shared" si="29"/>
        <v>0.03524309310801306</v>
      </c>
      <c r="O30">
        <f t="shared" si="21"/>
        <v>0.05689377722128702</v>
      </c>
      <c r="P30">
        <f t="shared" si="22"/>
        <v>0.7111722152660878</v>
      </c>
      <c r="Q30">
        <f t="shared" si="23"/>
        <v>1.2389085354953977</v>
      </c>
      <c r="R30">
        <f t="shared" si="24"/>
        <v>8.752888803274926E-06</v>
      </c>
      <c r="S30">
        <f t="shared" si="25"/>
        <v>24.35001964660666</v>
      </c>
      <c r="T30" s="6">
        <f t="shared" si="30"/>
        <v>0.0785302891960431</v>
      </c>
      <c r="U30" s="6">
        <f t="shared" si="31"/>
        <v>0.3097271338738494</v>
      </c>
      <c r="V30">
        <f t="shared" si="32"/>
        <v>0.0022026933192508162</v>
      </c>
      <c r="W30">
        <f t="shared" si="33"/>
        <v>0.014223444305321756</v>
      </c>
      <c r="X30">
        <f t="shared" si="26"/>
        <v>8.994181545181578E-08</v>
      </c>
      <c r="Y30" s="8">
        <f t="shared" si="27"/>
        <v>0.8330001022856122</v>
      </c>
      <c r="AA30" s="16">
        <f t="shared" si="34"/>
        <v>0.25165329627250266</v>
      </c>
      <c r="AB30" s="6">
        <f t="shared" si="35"/>
        <v>0.08752888803274926</v>
      </c>
      <c r="AC30" s="6">
        <f t="shared" si="36"/>
        <v>0.002002448472046197</v>
      </c>
      <c r="AD30" s="22">
        <f t="shared" si="28"/>
        <v>929.1814016215453</v>
      </c>
    </row>
    <row r="31" spans="10:30" ht="15.75">
      <c r="J31">
        <f t="shared" si="19"/>
        <v>13.000000000000066</v>
      </c>
      <c r="K31">
        <f t="shared" si="20"/>
        <v>1.2559999999999936E-05</v>
      </c>
      <c r="L31">
        <v>0.00399999999999999</v>
      </c>
      <c r="M31" s="4">
        <v>6.5</v>
      </c>
      <c r="N31">
        <f t="shared" si="29"/>
        <v>0.1788257397948002</v>
      </c>
      <c r="O31">
        <f t="shared" si="21"/>
        <v>0.17087617386193674</v>
      </c>
      <c r="P31">
        <f t="shared" si="22"/>
        <v>2.1359521732742093</v>
      </c>
      <c r="Q31">
        <f t="shared" si="23"/>
        <v>2.0930447557807152</v>
      </c>
      <c r="R31">
        <f t="shared" si="24"/>
        <v>2.628864213260565E-05</v>
      </c>
      <c r="S31">
        <f t="shared" si="25"/>
        <v>15.093044755780781</v>
      </c>
      <c r="T31" s="6">
        <f t="shared" si="30"/>
        <v>0.13184144264815623</v>
      </c>
      <c r="U31" s="6">
        <f t="shared" si="31"/>
        <v>0.5232611889451788</v>
      </c>
      <c r="V31">
        <f t="shared" si="32"/>
        <v>0.01117660873717501</v>
      </c>
      <c r="W31">
        <f t="shared" si="33"/>
        <v>0.04271904346548418</v>
      </c>
      <c r="X31">
        <f t="shared" si="26"/>
        <v>4.526547747208208E-07</v>
      </c>
      <c r="Y31" s="8">
        <f t="shared" si="27"/>
        <v>0.839838174693557</v>
      </c>
      <c r="AA31" s="16">
        <f t="shared" si="34"/>
        <v>0.42514971601795776</v>
      </c>
      <c r="AB31" s="6">
        <f t="shared" si="35"/>
        <v>0.26288642132605644</v>
      </c>
      <c r="AC31" s="6">
        <f t="shared" si="36"/>
        <v>0.010160553397431826</v>
      </c>
      <c r="AD31" s="22">
        <f t="shared" si="28"/>
        <v>2093.04475578071</v>
      </c>
    </row>
    <row r="32" spans="10:30" ht="15.75">
      <c r="J32">
        <f t="shared" si="19"/>
        <v>8.320000000000034</v>
      </c>
      <c r="K32">
        <f t="shared" si="20"/>
        <v>1.9624999999999918E-05</v>
      </c>
      <c r="L32">
        <v>0.00499999999999999</v>
      </c>
      <c r="M32" s="4">
        <v>6.5</v>
      </c>
      <c r="N32">
        <f t="shared" si="29"/>
        <v>0.5720041886229317</v>
      </c>
      <c r="O32">
        <f t="shared" si="21"/>
        <v>0.3820112153097404</v>
      </c>
      <c r="P32">
        <f t="shared" si="22"/>
        <v>4.775140191371755</v>
      </c>
      <c r="Q32">
        <f t="shared" si="23"/>
        <v>2.9946984051719117</v>
      </c>
      <c r="R32">
        <f t="shared" si="24"/>
        <v>5.877095620149852E-05</v>
      </c>
      <c r="S32">
        <f t="shared" si="25"/>
        <v>11.314698405171946</v>
      </c>
      <c r="T32" s="6">
        <f t="shared" si="30"/>
        <v>0.18676337123971473</v>
      </c>
      <c r="U32" s="6">
        <f t="shared" si="31"/>
        <v>0.7486746012929779</v>
      </c>
      <c r="V32">
        <f t="shared" si="32"/>
        <v>0.03575026178893322</v>
      </c>
      <c r="W32">
        <f t="shared" si="33"/>
        <v>0.0955028038274351</v>
      </c>
      <c r="X32">
        <f t="shared" si="26"/>
        <v>1.4291803110456128E-06</v>
      </c>
      <c r="Y32" s="8">
        <f t="shared" si="27"/>
        <v>0.8508340686933084</v>
      </c>
      <c r="AA32" s="16">
        <f t="shared" si="34"/>
        <v>0.6082981135505446</v>
      </c>
      <c r="AB32" s="6">
        <f t="shared" si="35"/>
        <v>0.587709562014985</v>
      </c>
      <c r="AC32" s="6">
        <f t="shared" si="36"/>
        <v>0.0325002379899393</v>
      </c>
      <c r="AD32" s="22">
        <f t="shared" si="28"/>
        <v>3743.373006464881</v>
      </c>
    </row>
    <row r="33" spans="10:30" ht="15.75">
      <c r="J33">
        <f t="shared" si="19"/>
        <v>5.777777777777778</v>
      </c>
      <c r="K33">
        <f t="shared" si="20"/>
        <v>2.826E-05</v>
      </c>
      <c r="L33">
        <v>0.006</v>
      </c>
      <c r="M33" s="4">
        <v>6.5</v>
      </c>
      <c r="N33">
        <f t="shared" si="29"/>
        <v>1.3426295115231999</v>
      </c>
      <c r="O33">
        <f t="shared" si="21"/>
        <v>0.7023213153132924</v>
      </c>
      <c r="P33">
        <f t="shared" si="22"/>
        <v>8.779016441416156</v>
      </c>
      <c r="Q33">
        <f t="shared" si="23"/>
        <v>3.823405276897449</v>
      </c>
      <c r="R33">
        <f t="shared" si="24"/>
        <v>0.00010804943312512192</v>
      </c>
      <c r="S33">
        <f t="shared" si="25"/>
        <v>9.601183054675227</v>
      </c>
      <c r="T33" s="6">
        <f t="shared" si="30"/>
        <v>0.23558257670014446</v>
      </c>
      <c r="U33" s="6">
        <f t="shared" si="31"/>
        <v>0.9558513192243623</v>
      </c>
      <c r="V33">
        <f t="shared" si="32"/>
        <v>0.08391434447019998</v>
      </c>
      <c r="W33">
        <f t="shared" si="33"/>
        <v>0.1755803288283231</v>
      </c>
      <c r="X33">
        <f t="shared" si="26"/>
        <v>3.3022296635299403E-06</v>
      </c>
      <c r="Y33" s="8">
        <f t="shared" si="27"/>
        <v>0.8643340090093101</v>
      </c>
      <c r="AA33" s="16">
        <f t="shared" si="34"/>
        <v>0.7766291968697944</v>
      </c>
      <c r="AB33" s="6">
        <f t="shared" si="35"/>
        <v>1.080494331251219</v>
      </c>
      <c r="AC33" s="6">
        <f t="shared" si="36"/>
        <v>0.0762857677001818</v>
      </c>
      <c r="AD33" s="22">
        <f t="shared" si="28"/>
        <v>5735.107915346173</v>
      </c>
    </row>
    <row r="34" spans="10:30" ht="15.75">
      <c r="J34">
        <f t="shared" si="19"/>
        <v>4.244897959183673</v>
      </c>
      <c r="K34">
        <f t="shared" si="20"/>
        <v>3.8465000000000005E-05</v>
      </c>
      <c r="L34">
        <v>0.007</v>
      </c>
      <c r="M34" s="4">
        <v>6.5</v>
      </c>
      <c r="N34">
        <f t="shared" si="29"/>
        <v>2.553754082686789</v>
      </c>
      <c r="O34">
        <f t="shared" si="21"/>
        <v>1.1300406896555166</v>
      </c>
      <c r="P34">
        <f t="shared" si="22"/>
        <v>14.125508620693958</v>
      </c>
      <c r="Q34">
        <f t="shared" si="23"/>
        <v>4.519755980583813</v>
      </c>
      <c r="R34">
        <f t="shared" si="24"/>
        <v>0.0001738524137931564</v>
      </c>
      <c r="S34">
        <f t="shared" si="25"/>
        <v>8.764653939767486</v>
      </c>
      <c r="T34" s="6">
        <f t="shared" si="30"/>
        <v>0.27511687589738865</v>
      </c>
      <c r="U34" s="6">
        <f t="shared" si="31"/>
        <v>1.1299389951459533</v>
      </c>
      <c r="V34">
        <f t="shared" si="32"/>
        <v>0.15960963016792432</v>
      </c>
      <c r="W34">
        <f t="shared" si="33"/>
        <v>0.28251017241387916</v>
      </c>
      <c r="X34">
        <f t="shared" si="26"/>
        <v>6.182081976106278E-06</v>
      </c>
      <c r="Y34" s="8">
        <f t="shared" si="27"/>
        <v>0.8781667739583882</v>
      </c>
      <c r="AA34" s="16">
        <f t="shared" si="34"/>
        <v>0.9180754335560871</v>
      </c>
      <c r="AB34" s="6">
        <f t="shared" si="35"/>
        <v>1.738524137931564</v>
      </c>
      <c r="AC34" s="6">
        <f t="shared" si="36"/>
        <v>0.14509966378902212</v>
      </c>
      <c r="AD34" s="22">
        <f t="shared" si="28"/>
        <v>7909.572966021673</v>
      </c>
    </row>
    <row r="35" spans="10:30" ht="15.75">
      <c r="J35">
        <f t="shared" si="19"/>
        <v>3.25</v>
      </c>
      <c r="K35">
        <f t="shared" si="20"/>
        <v>5.024E-05</v>
      </c>
      <c r="L35">
        <v>0.008</v>
      </c>
      <c r="M35" s="4">
        <v>6.5</v>
      </c>
      <c r="N35">
        <f t="shared" si="29"/>
        <v>4.211040363598441</v>
      </c>
      <c r="O35">
        <f t="shared" si="21"/>
        <v>1.6584072727389414</v>
      </c>
      <c r="P35">
        <f t="shared" si="22"/>
        <v>20.73009090923677</v>
      </c>
      <c r="Q35">
        <f t="shared" si="23"/>
        <v>5.078415215393623</v>
      </c>
      <c r="R35">
        <f t="shared" si="24"/>
        <v>0.0002551395804213756</v>
      </c>
      <c r="S35">
        <f t="shared" si="25"/>
        <v>8.328415215393623</v>
      </c>
      <c r="T35" s="6">
        <f t="shared" si="30"/>
        <v>0.3057291334001498</v>
      </c>
      <c r="U35" s="6">
        <f t="shared" si="31"/>
        <v>1.2696038038484057</v>
      </c>
      <c r="V35">
        <f t="shared" si="32"/>
        <v>0.26319002272490255</v>
      </c>
      <c r="W35">
        <f t="shared" si="33"/>
        <v>0.41460181818473535</v>
      </c>
      <c r="X35">
        <f t="shared" si="26"/>
        <v>1.0048406538249268E-05</v>
      </c>
      <c r="Y35" s="8">
        <f t="shared" si="27"/>
        <v>0.8908916608027796</v>
      </c>
      <c r="AA35" s="16">
        <f t="shared" si="34"/>
        <v>1.0315530906268295</v>
      </c>
      <c r="AB35" s="6">
        <f t="shared" si="35"/>
        <v>2.5513958042137563</v>
      </c>
      <c r="AC35" s="6">
        <f t="shared" si="36"/>
        <v>0.23926365702263866</v>
      </c>
      <c r="AD35" s="22">
        <f t="shared" si="28"/>
        <v>10156.830430787246</v>
      </c>
    </row>
    <row r="36" spans="10:30" ht="15.75">
      <c r="J36">
        <f t="shared" si="19"/>
        <v>2.5679012345679015</v>
      </c>
      <c r="K36">
        <f t="shared" si="20"/>
        <v>6.3585E-05</v>
      </c>
      <c r="L36">
        <v>0.009</v>
      </c>
      <c r="M36" s="4">
        <v>6.5</v>
      </c>
      <c r="N36">
        <f t="shared" si="29"/>
        <v>6.293921376313749</v>
      </c>
      <c r="O36">
        <f t="shared" si="21"/>
        <v>2.2809179904739727</v>
      </c>
      <c r="P36">
        <f t="shared" si="22"/>
        <v>28.51147488092466</v>
      </c>
      <c r="Q36">
        <f t="shared" si="23"/>
        <v>5.5187616587704476</v>
      </c>
      <c r="R36">
        <f t="shared" si="24"/>
        <v>0.0003509104600729189</v>
      </c>
      <c r="S36">
        <f t="shared" si="25"/>
        <v>8.08666289333835</v>
      </c>
      <c r="T36" s="6">
        <f t="shared" si="30"/>
        <v>0.32911356899782995</v>
      </c>
      <c r="U36" s="6">
        <f t="shared" si="31"/>
        <v>1.3796904146926119</v>
      </c>
      <c r="V36">
        <f t="shared" si="32"/>
        <v>0.39337008601960927</v>
      </c>
      <c r="W36">
        <f t="shared" si="33"/>
        <v>0.5702294976184932</v>
      </c>
      <c r="X36">
        <f t="shared" si="26"/>
        <v>1.483471849380414E-05</v>
      </c>
      <c r="Y36" s="8">
        <f t="shared" si="27"/>
        <v>0.9019338590222943</v>
      </c>
      <c r="AA36" s="16">
        <f t="shared" si="34"/>
        <v>1.120998461937747</v>
      </c>
      <c r="AB36" s="6">
        <f t="shared" si="35"/>
        <v>3.509104600729189</v>
      </c>
      <c r="AC36" s="6">
        <f t="shared" si="36"/>
        <v>0.3576091691087357</v>
      </c>
      <c r="AD36" s="22">
        <f t="shared" si="28"/>
        <v>12417.213732233507</v>
      </c>
    </row>
    <row r="37" spans="10:30" ht="15.75">
      <c r="J37">
        <f t="shared" si="19"/>
        <v>2.0799999999999996</v>
      </c>
      <c r="K37">
        <f t="shared" si="20"/>
        <v>7.850000000000001E-05</v>
      </c>
      <c r="L37">
        <v>0.01</v>
      </c>
      <c r="M37" s="4">
        <v>6.5</v>
      </c>
      <c r="N37">
        <f t="shared" si="29"/>
        <v>8.77648278104958</v>
      </c>
      <c r="O37">
        <f t="shared" si="21"/>
        <v>2.9927246244953944</v>
      </c>
      <c r="P37">
        <f t="shared" si="22"/>
        <v>37.40905780619243</v>
      </c>
      <c r="Q37">
        <f t="shared" si="23"/>
        <v>5.865212394895432</v>
      </c>
      <c r="R37">
        <f t="shared" si="24"/>
        <v>0.00046041917299929143</v>
      </c>
      <c r="S37">
        <f t="shared" si="25"/>
        <v>7.945212394895432</v>
      </c>
      <c r="T37" s="6">
        <f t="shared" si="30"/>
        <v>0.3470292758223684</v>
      </c>
      <c r="U37" s="6">
        <f t="shared" si="31"/>
        <v>1.466303098723858</v>
      </c>
      <c r="V37">
        <f t="shared" si="32"/>
        <v>0.5485301738155989</v>
      </c>
      <c r="W37">
        <f t="shared" si="33"/>
        <v>0.7481811561238486</v>
      </c>
      <c r="X37">
        <f t="shared" si="26"/>
        <v>2.0474742443811977E-05</v>
      </c>
      <c r="Y37" s="8">
        <f t="shared" si="27"/>
        <v>0.9112441319588505</v>
      </c>
      <c r="AA37" s="16">
        <f t="shared" si="34"/>
        <v>1.1913712677131345</v>
      </c>
      <c r="AB37" s="6">
        <f t="shared" si="35"/>
        <v>4.604191729992914</v>
      </c>
      <c r="AC37" s="6">
        <f t="shared" si="36"/>
        <v>0.49866379437781716</v>
      </c>
      <c r="AD37" s="22">
        <f t="shared" si="28"/>
        <v>14663.030987238579</v>
      </c>
    </row>
    <row r="38" spans="10:30" ht="15.75">
      <c r="J38">
        <f aca="true" t="shared" si="37" ref="J38:J51">$C$5*M38/1000/(3.14*L38^2/4)</f>
        <v>1.71900826446281</v>
      </c>
      <c r="K38">
        <f>3.14*L38^2/4</f>
        <v>9.4985E-05</v>
      </c>
      <c r="L38">
        <v>0.011</v>
      </c>
      <c r="M38" s="4">
        <v>6.5</v>
      </c>
      <c r="N38">
        <f t="shared" si="29"/>
        <v>11.63573787577354</v>
      </c>
      <c r="O38">
        <f>1000*M38*R38</f>
        <v>3.7904969737086645</v>
      </c>
      <c r="P38">
        <f>O38/$I$5</f>
        <v>47.38121217135831</v>
      </c>
      <c r="Q38">
        <f>-J38+SQRT(J38^2+2*9.8*$E$5)</f>
        <v>6.139426020640773</v>
      </c>
      <c r="R38">
        <f aca="true" t="shared" si="38" ref="R38:R51">Q38*K38</f>
        <v>0.0005831533805705638</v>
      </c>
      <c r="S38">
        <f t="shared" si="25"/>
        <v>7.858434285103582</v>
      </c>
      <c r="T38" s="6">
        <f t="shared" si="30"/>
        <v>0.36089961944406984</v>
      </c>
      <c r="U38" s="6">
        <f t="shared" si="31"/>
        <v>1.5348565051601932</v>
      </c>
      <c r="V38">
        <f t="shared" si="32"/>
        <v>0.7272336172358463</v>
      </c>
      <c r="W38">
        <f t="shared" si="33"/>
        <v>0.9476242434271663</v>
      </c>
      <c r="X38">
        <f t="shared" si="26"/>
        <v>2.6916048622726516E-05</v>
      </c>
      <c r="Y38" s="8">
        <f t="shared" si="27"/>
        <v>0.9189995778229311</v>
      </c>
      <c r="AA38" s="16">
        <f t="shared" si="34"/>
        <v>1.2470709104426572</v>
      </c>
      <c r="AB38" s="6">
        <f t="shared" si="35"/>
        <v>5.831533805705638</v>
      </c>
      <c r="AC38" s="6">
        <f t="shared" si="36"/>
        <v>0.6611214702144058</v>
      </c>
      <c r="AD38" s="22">
        <f t="shared" si="28"/>
        <v>16883.421556762125</v>
      </c>
    </row>
    <row r="39" spans="10:30" ht="15.75">
      <c r="J39">
        <f t="shared" si="37"/>
        <v>1.4444444444444444</v>
      </c>
      <c r="K39">
        <f aca="true" t="shared" si="39" ref="K39:K51">3.14*L39^2/4</f>
        <v>0.00011304</v>
      </c>
      <c r="L39">
        <v>0.012</v>
      </c>
      <c r="M39" s="4">
        <v>6.5</v>
      </c>
      <c r="N39">
        <f t="shared" si="29"/>
        <v>14.85350828940373</v>
      </c>
      <c r="O39">
        <f aca="true" t="shared" si="40" ref="O39:O51">1000*M39*R39</f>
        <v>4.671993953489727</v>
      </c>
      <c r="P39">
        <f aca="true" t="shared" si="41" ref="P39:P61">O39/$I$5</f>
        <v>58.39992441862158</v>
      </c>
      <c r="Q39">
        <f aca="true" t="shared" si="42" ref="Q39:Q51">-J39+SQRT(J39^2+2*9.8*$E$5)</f>
        <v>6.35853061338359</v>
      </c>
      <c r="R39">
        <f t="shared" si="38"/>
        <v>0.000718768300536881</v>
      </c>
      <c r="S39">
        <f t="shared" si="25"/>
        <v>7.802975057828035</v>
      </c>
      <c r="T39" s="6">
        <f t="shared" si="30"/>
        <v>0.37178198764709397</v>
      </c>
      <c r="U39" s="6">
        <f t="shared" si="31"/>
        <v>1.5896326533458975</v>
      </c>
      <c r="V39">
        <f t="shared" si="32"/>
        <v>0.928344268087733</v>
      </c>
      <c r="W39">
        <f t="shared" si="33"/>
        <v>1.1679984883724317</v>
      </c>
      <c r="X39">
        <f t="shared" si="26"/>
        <v>3.4120325791980584E-05</v>
      </c>
      <c r="Y39" s="8">
        <f t="shared" si="27"/>
        <v>0.9254406256772644</v>
      </c>
      <c r="AA39" s="16">
        <f t="shared" si="34"/>
        <v>1.2915765308435418</v>
      </c>
      <c r="AB39" s="6">
        <f t="shared" si="35"/>
        <v>7.187683005368809</v>
      </c>
      <c r="AC39" s="6">
        <f t="shared" si="36"/>
        <v>0.8439493346252118</v>
      </c>
      <c r="AD39" s="22">
        <f t="shared" si="28"/>
        <v>19075.59184015077</v>
      </c>
    </row>
    <row r="40" spans="10:30" ht="15.75">
      <c r="J40">
        <f t="shared" si="37"/>
        <v>1.2307692307692308</v>
      </c>
      <c r="K40">
        <f t="shared" si="39"/>
        <v>0.000132665</v>
      </c>
      <c r="L40">
        <v>0.013</v>
      </c>
      <c r="M40" s="4">
        <v>6.5</v>
      </c>
      <c r="N40">
        <f t="shared" si="29"/>
        <v>18.416034538486503</v>
      </c>
      <c r="O40">
        <f t="shared" si="40"/>
        <v>5.635700656229716</v>
      </c>
      <c r="P40">
        <f t="shared" si="41"/>
        <v>70.44625820287145</v>
      </c>
      <c r="Q40">
        <f t="shared" si="42"/>
        <v>6.535490673419418</v>
      </c>
      <c r="R40">
        <f t="shared" si="38"/>
        <v>0.0008670308701891871</v>
      </c>
      <c r="S40">
        <f t="shared" si="25"/>
        <v>7.766259904188649</v>
      </c>
      <c r="T40" s="6">
        <f t="shared" si="30"/>
        <v>0.3804395413642089</v>
      </c>
      <c r="U40" s="6">
        <f t="shared" si="31"/>
        <v>1.6338726683548546</v>
      </c>
      <c r="V40">
        <f t="shared" si="32"/>
        <v>1.1510021586554064</v>
      </c>
      <c r="W40">
        <f t="shared" si="33"/>
        <v>1.408925164057429</v>
      </c>
      <c r="X40">
        <f t="shared" si="26"/>
        <v>4.206028461232038E-05</v>
      </c>
      <c r="Y40" s="8">
        <f t="shared" si="27"/>
        <v>0.9308004843155778</v>
      </c>
      <c r="AA40" s="16">
        <f t="shared" si="34"/>
        <v>1.3275215430383194</v>
      </c>
      <c r="AB40" s="6">
        <f t="shared" si="35"/>
        <v>8.670308701891871</v>
      </c>
      <c r="AC40" s="6">
        <f t="shared" si="36"/>
        <v>1.0463655987776423</v>
      </c>
      <c r="AD40" s="22">
        <f t="shared" si="28"/>
        <v>21240.34468861311</v>
      </c>
    </row>
    <row r="41" spans="10:30" ht="15.75">
      <c r="J41">
        <f t="shared" si="37"/>
        <v>1.0612244897959182</v>
      </c>
      <c r="K41">
        <f t="shared" si="39"/>
        <v>0.00015386000000000002</v>
      </c>
      <c r="L41">
        <v>0.014</v>
      </c>
      <c r="M41" s="4">
        <v>6.5</v>
      </c>
      <c r="N41">
        <f t="shared" si="29"/>
        <v>22.313053022034154</v>
      </c>
      <c r="O41">
        <f t="shared" si="40"/>
        <v>6.680577998467818</v>
      </c>
      <c r="P41">
        <f t="shared" si="41"/>
        <v>83.50722498084772</v>
      </c>
      <c r="Q41">
        <f t="shared" si="42"/>
        <v>6.679976800555767</v>
      </c>
      <c r="R41">
        <f t="shared" si="38"/>
        <v>0.0010277812305335104</v>
      </c>
      <c r="S41">
        <f t="shared" si="25"/>
        <v>7.741201290351686</v>
      </c>
      <c r="T41" s="6">
        <f t="shared" si="30"/>
        <v>0.3874203770136806</v>
      </c>
      <c r="U41" s="6">
        <f t="shared" si="31"/>
        <v>1.6699942001389418</v>
      </c>
      <c r="V41">
        <f t="shared" si="32"/>
        <v>1.3945658138771349</v>
      </c>
      <c r="W41">
        <f t="shared" si="33"/>
        <v>1.6701444996169545</v>
      </c>
      <c r="X41">
        <f t="shared" si="26"/>
        <v>5.0716537538138316E-05</v>
      </c>
      <c r="Y41" s="8">
        <f t="shared" si="27"/>
        <v>0.9352809489546696</v>
      </c>
      <c r="AA41" s="16">
        <f t="shared" si="34"/>
        <v>1.3568702876128904</v>
      </c>
      <c r="AB41" s="6">
        <f t="shared" si="35"/>
        <v>10.277812305335106</v>
      </c>
      <c r="AC41" s="6">
        <f t="shared" si="36"/>
        <v>1.267787103524668</v>
      </c>
      <c r="AD41" s="22">
        <f t="shared" si="28"/>
        <v>23379.918801945187</v>
      </c>
    </row>
    <row r="42" spans="10:30" ht="15.75">
      <c r="J42">
        <f t="shared" si="37"/>
        <v>0.9244444444444444</v>
      </c>
      <c r="K42">
        <f t="shared" si="39"/>
        <v>0.000176625</v>
      </c>
      <c r="L42">
        <v>0.015</v>
      </c>
      <c r="M42" s="4">
        <v>6.5</v>
      </c>
      <c r="N42">
        <f t="shared" si="29"/>
        <v>26.536916462878015</v>
      </c>
      <c r="O42">
        <f t="shared" si="40"/>
        <v>7.80590016034831</v>
      </c>
      <c r="P42">
        <f t="shared" si="41"/>
        <v>97.57375200435388</v>
      </c>
      <c r="Q42">
        <f t="shared" si="42"/>
        <v>6.7991944344043205</v>
      </c>
      <c r="R42">
        <f t="shared" si="38"/>
        <v>0.0012009077169766631</v>
      </c>
      <c r="S42">
        <f aca="true" t="shared" si="43" ref="S42:S51">SQRT(J42^2+2*9.8*$E$5)</f>
        <v>7.723638878848765</v>
      </c>
      <c r="T42" s="6">
        <f t="shared" si="30"/>
        <v>0.3931204479668607</v>
      </c>
      <c r="U42" s="6">
        <f t="shared" si="31"/>
        <v>1.6997986086010801</v>
      </c>
      <c r="V42">
        <f t="shared" si="32"/>
        <v>1.6585572789298757</v>
      </c>
      <c r="W42">
        <f t="shared" si="33"/>
        <v>1.9514750400870775</v>
      </c>
      <c r="X42">
        <f aca="true" t="shared" si="44" ref="X42:X51">K42*Q42*T42+2*M42*K42*LN(1-Q42*(1-EXP(-T42*S42/M42))/2/S42)</f>
        <v>6.007520545556189E-05</v>
      </c>
      <c r="Y42" s="8">
        <f aca="true" t="shared" si="45" ref="Y42:Y51">V42/(X42*1000*9.8*E$5)</f>
        <v>0.9390481890320093</v>
      </c>
      <c r="AA42" s="16">
        <f t="shared" si="34"/>
        <v>1.3810863694883777</v>
      </c>
      <c r="AB42" s="6">
        <f t="shared" si="35"/>
        <v>12.00907716976663</v>
      </c>
      <c r="AC42" s="6">
        <f t="shared" si="36"/>
        <v>1.5077793444817054</v>
      </c>
      <c r="AD42" s="22">
        <f t="shared" si="28"/>
        <v>25496.979129016203</v>
      </c>
    </row>
    <row r="43" spans="10:30" ht="15.75">
      <c r="J43">
        <f t="shared" si="37"/>
        <v>15</v>
      </c>
      <c r="K43">
        <f t="shared" si="39"/>
        <v>0.00020096</v>
      </c>
      <c r="L43">
        <v>0.016</v>
      </c>
      <c r="M43" s="4">
        <v>120</v>
      </c>
      <c r="N43">
        <f t="shared" si="29"/>
        <v>41.10510850634568</v>
      </c>
      <c r="O43">
        <f t="shared" si="40"/>
        <v>44.52545143291031</v>
      </c>
      <c r="P43">
        <f t="shared" si="41"/>
        <v>556.5681429113788</v>
      </c>
      <c r="Q43">
        <f t="shared" si="42"/>
        <v>1.84636459299157</v>
      </c>
      <c r="R43">
        <f t="shared" si="38"/>
        <v>0.0003710454286075859</v>
      </c>
      <c r="S43">
        <f t="shared" si="43"/>
        <v>16.84636459299157</v>
      </c>
      <c r="T43" s="6">
        <f t="shared" si="30"/>
        <v>2.151721300815619</v>
      </c>
      <c r="U43" s="6">
        <f t="shared" si="31"/>
        <v>0.4615911482478925</v>
      </c>
      <c r="V43">
        <f t="shared" si="32"/>
        <v>2.569069281646605</v>
      </c>
      <c r="W43">
        <f t="shared" si="33"/>
        <v>11.131362858227577</v>
      </c>
      <c r="X43">
        <f t="shared" si="44"/>
        <v>0.00010433769651596147</v>
      </c>
      <c r="Y43" s="8">
        <f t="shared" si="45"/>
        <v>0.8375046777669333</v>
      </c>
      <c r="AA43" s="16">
        <f t="shared" si="34"/>
        <v>6.923867223718388</v>
      </c>
      <c r="AB43" s="6">
        <f t="shared" si="35"/>
        <v>3.710454286075859</v>
      </c>
      <c r="AC43" s="6">
        <f t="shared" si="36"/>
        <v>2.335517528769641</v>
      </c>
      <c r="AD43" s="22">
        <f t="shared" si="28"/>
        <v>7385.45837196628</v>
      </c>
    </row>
    <row r="44" spans="10:30" ht="15.75">
      <c r="J44">
        <f t="shared" si="37"/>
        <v>1.6608996539792384</v>
      </c>
      <c r="K44">
        <f t="shared" si="39"/>
        <v>0.00022686500000000003</v>
      </c>
      <c r="L44">
        <v>0.017</v>
      </c>
      <c r="M44" s="4">
        <v>15</v>
      </c>
      <c r="N44">
        <f t="shared" si="29"/>
        <v>65.0896842554287</v>
      </c>
      <c r="O44">
        <f t="shared" si="40"/>
        <v>21.04749715662732</v>
      </c>
      <c r="P44">
        <f t="shared" si="41"/>
        <v>263.0937144578415</v>
      </c>
      <c r="Q44">
        <f t="shared" si="42"/>
        <v>6.185028440299242</v>
      </c>
      <c r="R44">
        <f t="shared" si="38"/>
        <v>0.0014031664771084879</v>
      </c>
      <c r="S44">
        <f t="shared" si="43"/>
        <v>7.845928094278481</v>
      </c>
      <c r="T44" s="6">
        <f t="shared" si="30"/>
        <v>0.8381061706506179</v>
      </c>
      <c r="U44" s="6">
        <f t="shared" si="31"/>
        <v>1.5462571100748106</v>
      </c>
      <c r="V44">
        <f t="shared" si="32"/>
        <v>4.068105265964293</v>
      </c>
      <c r="W44">
        <f t="shared" si="33"/>
        <v>5.26187428915683</v>
      </c>
      <c r="X44">
        <f t="shared" si="44"/>
        <v>0.00015035050788618108</v>
      </c>
      <c r="Y44" s="8">
        <f t="shared" si="45"/>
        <v>0.9203223145644547</v>
      </c>
      <c r="AA44" s="16">
        <f t="shared" si="34"/>
        <v>2.8992320813902706</v>
      </c>
      <c r="AB44" s="6">
        <f t="shared" si="35"/>
        <v>14.031664771084873</v>
      </c>
      <c r="AC44" s="6">
        <f t="shared" si="36"/>
        <v>3.6982775145129936</v>
      </c>
      <c r="AD44" s="22">
        <f t="shared" si="28"/>
        <v>26286.37087127178</v>
      </c>
    </row>
    <row r="45" spans="10:30" ht="15.75">
      <c r="J45">
        <f t="shared" si="37"/>
        <v>1.4814814814814816</v>
      </c>
      <c r="K45">
        <f t="shared" si="39"/>
        <v>0.00025434</v>
      </c>
      <c r="L45">
        <v>0.018</v>
      </c>
      <c r="M45" s="4">
        <v>15</v>
      </c>
      <c r="N45">
        <f t="shared" si="29"/>
        <v>76.39562829929422</v>
      </c>
      <c r="O45">
        <f t="shared" si="40"/>
        <v>24.14361039797641</v>
      </c>
      <c r="P45">
        <f t="shared" si="41"/>
        <v>301.7951299747051</v>
      </c>
      <c r="Q45">
        <f t="shared" si="42"/>
        <v>6.328434483493594</v>
      </c>
      <c r="R45">
        <f t="shared" si="38"/>
        <v>0.0016095740265317606</v>
      </c>
      <c r="S45">
        <f t="shared" si="43"/>
        <v>7.809915964975076</v>
      </c>
      <c r="T45" s="6">
        <f t="shared" si="30"/>
        <v>0.8545334595395232</v>
      </c>
      <c r="U45" s="6">
        <f t="shared" si="31"/>
        <v>1.5821086208733985</v>
      </c>
      <c r="V45">
        <f t="shared" si="32"/>
        <v>4.774726768705888</v>
      </c>
      <c r="W45">
        <f t="shared" si="33"/>
        <v>6.0359025994941025</v>
      </c>
      <c r="X45">
        <f t="shared" si="44"/>
        <v>0.00017566047283544897</v>
      </c>
      <c r="Y45" s="8">
        <f t="shared" si="45"/>
        <v>0.9245430675636213</v>
      </c>
      <c r="AA45" s="16">
        <f t="shared" si="34"/>
        <v>2.9664536641376222</v>
      </c>
      <c r="AB45" s="6">
        <f t="shared" si="35"/>
        <v>16.095740265317605</v>
      </c>
      <c r="AC45" s="6">
        <f t="shared" si="36"/>
        <v>4.340660698823534</v>
      </c>
      <c r="AD45" s="22">
        <f t="shared" si="28"/>
        <v>28477.955175721174</v>
      </c>
    </row>
    <row r="46" spans="10:30" ht="15.75">
      <c r="J46">
        <f t="shared" si="37"/>
        <v>1.7728531855955678</v>
      </c>
      <c r="K46">
        <f t="shared" si="39"/>
        <v>0.000283385</v>
      </c>
      <c r="L46">
        <v>0.019</v>
      </c>
      <c r="M46" s="4">
        <v>20</v>
      </c>
      <c r="N46">
        <f t="shared" si="29"/>
        <v>105.36234945260139</v>
      </c>
      <c r="O46">
        <f t="shared" si="40"/>
        <v>34.558998480642025</v>
      </c>
      <c r="P46">
        <f t="shared" si="41"/>
        <v>431.9874810080253</v>
      </c>
      <c r="Q46">
        <f t="shared" si="42"/>
        <v>6.097534887280912</v>
      </c>
      <c r="R46">
        <f t="shared" si="38"/>
        <v>0.0017279499240321012</v>
      </c>
      <c r="S46">
        <f t="shared" si="43"/>
        <v>7.87038807287648</v>
      </c>
      <c r="T46" s="6">
        <f t="shared" si="30"/>
        <v>1.103995766914161</v>
      </c>
      <c r="U46" s="6">
        <f t="shared" si="31"/>
        <v>1.524383721820228</v>
      </c>
      <c r="V46">
        <f t="shared" si="32"/>
        <v>6.585146840787586</v>
      </c>
      <c r="W46">
        <f t="shared" si="33"/>
        <v>8.639749620160504</v>
      </c>
      <c r="X46">
        <f t="shared" si="44"/>
        <v>0.0002440470159034815</v>
      </c>
      <c r="Y46" s="8">
        <f t="shared" si="45"/>
        <v>0.9177927687094951</v>
      </c>
      <c r="AA46" s="16">
        <f t="shared" si="34"/>
        <v>3.81095930455057</v>
      </c>
      <c r="AB46" s="6">
        <f t="shared" si="35"/>
        <v>17.27949924032101</v>
      </c>
      <c r="AC46" s="6">
        <f t="shared" si="36"/>
        <v>5.986497127988715</v>
      </c>
      <c r="AD46" s="22">
        <f t="shared" si="28"/>
        <v>28963.290714584335</v>
      </c>
    </row>
    <row r="47" spans="10:30" ht="15.75">
      <c r="J47">
        <f t="shared" si="37"/>
        <v>0.5199999999999999</v>
      </c>
      <c r="K47">
        <f t="shared" si="39"/>
        <v>0.00031400000000000004</v>
      </c>
      <c r="L47" s="1">
        <v>0.02</v>
      </c>
      <c r="M47" s="4">
        <v>6.5</v>
      </c>
      <c r="N47">
        <f t="shared" si="29"/>
        <v>52.400270587116914</v>
      </c>
      <c r="O47">
        <f t="shared" si="40"/>
        <v>14.625248870929045</v>
      </c>
      <c r="P47">
        <f t="shared" si="41"/>
        <v>182.81561088661306</v>
      </c>
      <c r="Q47" s="2">
        <f t="shared" si="42"/>
        <v>7.165727031322412</v>
      </c>
      <c r="R47">
        <f t="shared" si="38"/>
        <v>0.0022500382878352376</v>
      </c>
      <c r="S47">
        <f t="shared" si="43"/>
        <v>7.685727031322411</v>
      </c>
      <c r="T47" s="6">
        <f t="shared" si="30"/>
        <v>0.41030332913954237</v>
      </c>
      <c r="U47" s="6">
        <f t="shared" si="31"/>
        <v>1.791431757830603</v>
      </c>
      <c r="V47">
        <f t="shared" si="32"/>
        <v>3.2750169116948076</v>
      </c>
      <c r="W47">
        <f t="shared" si="33"/>
        <v>3.6563122177322613</v>
      </c>
      <c r="X47">
        <f t="shared" si="44"/>
        <v>0.00011713136439412666</v>
      </c>
      <c r="Y47" s="8">
        <f t="shared" si="45"/>
        <v>0.9510273668120056</v>
      </c>
      <c r="AA47" s="16">
        <f t="shared" si="34"/>
        <v>1.455538303237365</v>
      </c>
      <c r="AB47" s="6">
        <f t="shared" si="35"/>
        <v>22.500382878352376</v>
      </c>
      <c r="AC47" s="6">
        <f t="shared" si="36"/>
        <v>2.977288101540734</v>
      </c>
      <c r="AD47" s="22">
        <f t="shared" si="28"/>
        <v>35828.63515661206</v>
      </c>
    </row>
    <row r="48" spans="10:30" ht="15.75">
      <c r="J48">
        <f t="shared" si="37"/>
        <v>1.4512471655328796</v>
      </c>
      <c r="K48">
        <f t="shared" si="39"/>
        <v>0.00034618500000000005</v>
      </c>
      <c r="L48">
        <v>0.021</v>
      </c>
      <c r="M48" s="4">
        <v>20</v>
      </c>
      <c r="N48">
        <f t="shared" si="29"/>
        <v>139.72193609401708</v>
      </c>
      <c r="O48">
        <f t="shared" si="40"/>
        <v>43.9861971289664</v>
      </c>
      <c r="P48">
        <f t="shared" si="41"/>
        <v>549.8274641120801</v>
      </c>
      <c r="Q48">
        <f t="shared" si="42"/>
        <v>6.352990038413911</v>
      </c>
      <c r="R48">
        <f t="shared" si="38"/>
        <v>0.0021993098564483202</v>
      </c>
      <c r="S48">
        <f t="shared" si="43"/>
        <v>7.804237203946791</v>
      </c>
      <c r="T48" s="6">
        <f t="shared" si="30"/>
        <v>1.1431046653589798</v>
      </c>
      <c r="U48" s="6">
        <f t="shared" si="31"/>
        <v>1.5882475096034778</v>
      </c>
      <c r="V48">
        <f t="shared" si="32"/>
        <v>8.732621005876066</v>
      </c>
      <c r="W48">
        <f t="shared" si="33"/>
        <v>10.9965492822416</v>
      </c>
      <c r="X48">
        <f t="shared" si="44"/>
        <v>0.0003210158048400245</v>
      </c>
      <c r="Y48" s="8">
        <f t="shared" si="45"/>
        <v>0.9252750826955561</v>
      </c>
      <c r="AA48" s="16">
        <f t="shared" si="34"/>
        <v>3.9706187740086945</v>
      </c>
      <c r="AB48" s="6">
        <f t="shared" si="35"/>
        <v>21.993098564483198</v>
      </c>
      <c r="AC48" s="6">
        <f t="shared" si="36"/>
        <v>7.938746368978241</v>
      </c>
      <c r="AD48" s="22">
        <f t="shared" si="28"/>
        <v>33353.19770167304</v>
      </c>
    </row>
    <row r="49" spans="10:30" ht="15.75">
      <c r="J49">
        <f t="shared" si="37"/>
        <v>1.3223140495867767</v>
      </c>
      <c r="K49">
        <f t="shared" si="39"/>
        <v>0.00037994</v>
      </c>
      <c r="L49">
        <v>0.022</v>
      </c>
      <c r="M49" s="4">
        <v>20</v>
      </c>
      <c r="N49">
        <f t="shared" si="29"/>
        <v>158.50490357779745</v>
      </c>
      <c r="O49">
        <f t="shared" si="40"/>
        <v>49.08048616929069</v>
      </c>
      <c r="P49">
        <f t="shared" si="41"/>
        <v>613.5060771161336</v>
      </c>
      <c r="Q49">
        <f t="shared" si="42"/>
        <v>6.45897854520328</v>
      </c>
      <c r="R49">
        <f t="shared" si="38"/>
        <v>0.0024540243084645343</v>
      </c>
      <c r="S49">
        <f t="shared" si="43"/>
        <v>7.781292594790057</v>
      </c>
      <c r="T49" s="6">
        <f t="shared" si="30"/>
        <v>1.159110116419529</v>
      </c>
      <c r="U49" s="6">
        <f t="shared" si="31"/>
        <v>1.61474463630082</v>
      </c>
      <c r="V49">
        <f t="shared" si="32"/>
        <v>9.906556473612339</v>
      </c>
      <c r="W49">
        <f t="shared" si="33"/>
        <v>12.27012154232267</v>
      </c>
      <c r="X49">
        <f t="shared" si="44"/>
        <v>0.0003629188174341636</v>
      </c>
      <c r="Y49" s="8">
        <f t="shared" si="45"/>
        <v>0.9284657807671269</v>
      </c>
      <c r="AA49" s="16">
        <f t="shared" si="34"/>
        <v>4.03686159075205</v>
      </c>
      <c r="AB49" s="6">
        <f t="shared" si="35"/>
        <v>24.540243084645343</v>
      </c>
      <c r="AC49" s="6">
        <f t="shared" si="36"/>
        <v>9.005960430556673</v>
      </c>
      <c r="AD49" s="22">
        <f t="shared" si="28"/>
        <v>35524.38199861804</v>
      </c>
    </row>
    <row r="50" spans="10:30" ht="15.75">
      <c r="J50">
        <f t="shared" si="37"/>
        <v>1.2098298676748582</v>
      </c>
      <c r="K50">
        <f t="shared" si="39"/>
        <v>0.000415265</v>
      </c>
      <c r="L50">
        <v>0.023</v>
      </c>
      <c r="M50" s="4">
        <v>20</v>
      </c>
      <c r="N50">
        <f t="shared" si="29"/>
        <v>178.32987760118863</v>
      </c>
      <c r="O50">
        <f t="shared" si="40"/>
        <v>54.425786764017516</v>
      </c>
      <c r="P50">
        <f t="shared" si="41"/>
        <v>680.3223345502189</v>
      </c>
      <c r="Q50">
        <f t="shared" si="42"/>
        <v>6.553139171856226</v>
      </c>
      <c r="R50">
        <f t="shared" si="38"/>
        <v>0.0027212893382008757</v>
      </c>
      <c r="S50">
        <f t="shared" si="43"/>
        <v>7.762969039531084</v>
      </c>
      <c r="T50" s="6">
        <f t="shared" si="30"/>
        <v>1.1732199364999256</v>
      </c>
      <c r="U50" s="6">
        <f t="shared" si="31"/>
        <v>1.6382847929640565</v>
      </c>
      <c r="V50">
        <f t="shared" si="32"/>
        <v>11.14561735007429</v>
      </c>
      <c r="W50">
        <f t="shared" si="33"/>
        <v>13.606446691004377</v>
      </c>
      <c r="X50">
        <f t="shared" si="44"/>
        <v>0.00040704953591047185</v>
      </c>
      <c r="Y50" s="8">
        <f t="shared" si="45"/>
        <v>0.9313427421233791</v>
      </c>
      <c r="AA50" s="16">
        <f t="shared" si="34"/>
        <v>4.095711982410141</v>
      </c>
      <c r="AB50" s="6">
        <f t="shared" si="35"/>
        <v>27.212893382008755</v>
      </c>
      <c r="AC50" s="6">
        <f t="shared" si="36"/>
        <v>10.132379409158446</v>
      </c>
      <c r="AD50" s="22">
        <f t="shared" si="28"/>
        <v>37680.5502381733</v>
      </c>
    </row>
    <row r="51" spans="10:30" ht="15.75">
      <c r="J51">
        <f t="shared" si="37"/>
        <v>1.111111111111111</v>
      </c>
      <c r="K51">
        <f t="shared" si="39"/>
        <v>0.00045216</v>
      </c>
      <c r="L51">
        <v>0.024</v>
      </c>
      <c r="M51" s="4">
        <v>20</v>
      </c>
      <c r="N51">
        <f t="shared" si="29"/>
        <v>199.18063375840956</v>
      </c>
      <c r="O51">
        <f t="shared" si="40"/>
        <v>60.02050161743151</v>
      </c>
      <c r="P51">
        <f t="shared" si="41"/>
        <v>750.2562702178939</v>
      </c>
      <c r="Q51">
        <f t="shared" si="42"/>
        <v>6.637086608438551</v>
      </c>
      <c r="R51">
        <f t="shared" si="38"/>
        <v>0.0030010250808715755</v>
      </c>
      <c r="S51">
        <f t="shared" si="43"/>
        <v>7.748197719549662</v>
      </c>
      <c r="T51" s="6">
        <f t="shared" si="30"/>
        <v>1.1857120860746535</v>
      </c>
      <c r="U51" s="6">
        <f t="shared" si="31"/>
        <v>1.6592716521096378</v>
      </c>
      <c r="V51">
        <f t="shared" si="32"/>
        <v>12.448789609900594</v>
      </c>
      <c r="W51">
        <f t="shared" si="33"/>
        <v>15.005125404357875</v>
      </c>
      <c r="X51">
        <f t="shared" si="44"/>
        <v>0.0004533778221014872</v>
      </c>
      <c r="Y51" s="8">
        <f t="shared" si="45"/>
        <v>0.9339411797012132</v>
      </c>
      <c r="AA51" s="16">
        <f t="shared" si="34"/>
        <v>4.148179130274094</v>
      </c>
      <c r="AB51" s="6">
        <f t="shared" si="35"/>
        <v>30.010250808715753</v>
      </c>
      <c r="AC51" s="6">
        <f t="shared" si="36"/>
        <v>11.317081463545994</v>
      </c>
      <c r="AD51" s="22">
        <f t="shared" si="28"/>
        <v>39822.51965063131</v>
      </c>
    </row>
    <row r="52" spans="9:31" ht="15.75">
      <c r="I52" s="17"/>
      <c r="J52" s="17">
        <f>$C$5*M52/1000/(3.14*L52^2/4)</f>
        <v>5.119999999999999</v>
      </c>
      <c r="K52" s="17">
        <f>3.14*L52^2/4</f>
        <v>0.0004906250000000001</v>
      </c>
      <c r="L52" s="17">
        <v>0.025</v>
      </c>
      <c r="M52" s="17">
        <v>100</v>
      </c>
      <c r="N52" s="17">
        <f>1/2*1000*M52/K52*R52^2</f>
        <v>412.43576608427804</v>
      </c>
      <c r="O52" s="17">
        <f>1000*M52*R52</f>
        <v>201.17221365541462</v>
      </c>
      <c r="P52" s="17">
        <f t="shared" si="41"/>
        <v>2514.652670692683</v>
      </c>
      <c r="Q52" s="17">
        <f>-J52+SQRT(J52^2+2*9.8*$E$5)</f>
        <v>4.100325373868323</v>
      </c>
      <c r="R52" s="17">
        <f>Q52*K52</f>
        <v>0.002011722136554146</v>
      </c>
      <c r="S52" s="17">
        <f>SQRT(J52^2+2*9.8*$E$5)</f>
        <v>9.220325373868322</v>
      </c>
      <c r="T52" s="17">
        <f>-M52/S52*LN(1-($T$27)/(-(1-$T$27)*Q52/2/S52+1))</f>
        <v>3.86890048596763</v>
      </c>
      <c r="U52" s="6">
        <f t="shared" si="31"/>
        <v>1.0250813434670807</v>
      </c>
      <c r="V52" s="17">
        <f>0.5*M52*K52*1000*$T$27^2*Q52^2</f>
        <v>25.777235380267374</v>
      </c>
      <c r="W52" s="17">
        <f>M52*K52*1000*$T$27*Q52</f>
        <v>50.293053413853656</v>
      </c>
      <c r="X52" s="17">
        <f>K52*Q52*T52+2*M52*K52*LN(1-Q52*(1-EXP(-T52*S52/M52))/2/S52)</f>
        <v>0.001008294566083462</v>
      </c>
      <c r="Y52" s="18">
        <f>V52/(X52*1000*9.8*E$5)</f>
        <v>0.8695640570792889</v>
      </c>
      <c r="Z52" s="17"/>
      <c r="AA52" s="19">
        <f>W52/K52*10^-5/I$5</f>
        <v>12.813516793338511</v>
      </c>
      <c r="AB52" s="17">
        <f>V52/AA52*10</f>
        <v>20.117221365541454</v>
      </c>
      <c r="AC52" s="17">
        <f>V52/$AC$27*10</f>
        <v>23.433850345697614</v>
      </c>
      <c r="AD52" s="22">
        <f>L52/0.001*1000*U52</f>
        <v>25627.03358667702</v>
      </c>
      <c r="AE52" s="17"/>
    </row>
    <row r="53" spans="10:30" ht="15.75">
      <c r="J53">
        <f>$C$5*M53/1000/(3.14*L53^2/4)</f>
        <v>2.366863905325444</v>
      </c>
      <c r="K53">
        <f>3.14*L53^2/4</f>
        <v>0.00053066</v>
      </c>
      <c r="L53">
        <v>0.026</v>
      </c>
      <c r="M53" s="17">
        <v>50</v>
      </c>
      <c r="N53">
        <f>1/2*1000*M53/K53*R53^2</f>
        <v>424.7336981405261</v>
      </c>
      <c r="O53">
        <f>1000*M53*R53</f>
        <v>150.12967203562778</v>
      </c>
      <c r="P53">
        <f t="shared" si="41"/>
        <v>1876.6209004453472</v>
      </c>
      <c r="Q53">
        <f>-J53+SQRT(J53^2+2*9.8*$E$5)</f>
        <v>5.658224551902453</v>
      </c>
      <c r="R53">
        <f>Q53*K53</f>
        <v>0.0030025934407125554</v>
      </c>
      <c r="S53">
        <f>SQRT(J53^2+2*9.8*$E$5)</f>
        <v>8.025088457227897</v>
      </c>
      <c r="T53" s="6">
        <f>-M53/S53*LN(1-($T$27)/(-(1-$T$27)*Q53/2/S53+1))</f>
        <v>2.5875186710576212</v>
      </c>
      <c r="U53" s="6">
        <f t="shared" si="31"/>
        <v>1.4145561379756133</v>
      </c>
      <c r="V53">
        <f>0.5*M53*K53*1000*$T$27^2*Q53^2</f>
        <v>26.545856133782884</v>
      </c>
      <c r="W53">
        <f>M53*K53*1000*$T$27*Q53</f>
        <v>37.532418008906944</v>
      </c>
      <c r="X53">
        <f>K53*Q53*T53+2*M53*K53*LN(1-Q53*(1-EXP(-T53*S53/M53))/2/S53)</f>
        <v>0.0009970233655905818</v>
      </c>
      <c r="Y53" s="8">
        <f>V53/(X53*1000*9.8*E$5)</f>
        <v>0.9056159643003366</v>
      </c>
      <c r="AA53" s="16">
        <f>W53/K53*10^-5/I$5</f>
        <v>8.840975862347584</v>
      </c>
      <c r="AB53" s="6">
        <f>V53/AA53*10</f>
        <v>30.025934407125554</v>
      </c>
      <c r="AC53" s="6">
        <f>V53/$AC$27*10</f>
        <v>24.132596485257167</v>
      </c>
      <c r="AD53" s="22">
        <f aca="true" t="shared" si="46" ref="AD53:AD60">L53/0.001*1000*U53</f>
        <v>36778.45958736595</v>
      </c>
    </row>
    <row r="54" spans="10:30" ht="15.75">
      <c r="J54">
        <f>$C$5*M54/1000/(3.14*L54^2/4)</f>
        <v>2.1947873799725652</v>
      </c>
      <c r="K54">
        <f>3.14*L54^2/4</f>
        <v>0.000572265</v>
      </c>
      <c r="L54">
        <v>0.027</v>
      </c>
      <c r="M54" s="17">
        <v>50</v>
      </c>
      <c r="N54">
        <f>1/2*1000*M54/K54*R54^2</f>
        <v>478.1673674765201</v>
      </c>
      <c r="O54">
        <f>1000*M54*R54</f>
        <v>165.4202069122605</v>
      </c>
      <c r="P54">
        <f t="shared" si="41"/>
        <v>2067.7525864032564</v>
      </c>
      <c r="Q54">
        <f>-J54+SQRT(J54^2+2*9.8*$E$5)</f>
        <v>5.781244944641399</v>
      </c>
      <c r="R54">
        <f>Q54*K54</f>
        <v>0.00330840413824521</v>
      </c>
      <c r="S54">
        <f>SQRT(J54^2+2*9.8*$E$5)</f>
        <v>7.976032324613964</v>
      </c>
      <c r="T54" s="6">
        <f>-M54/S54*LN(1-($T$27)/(-(1-$T$27)*Q54/2/S54+1))</f>
        <v>2.636360904364112</v>
      </c>
      <c r="U54" s="6">
        <f t="shared" si="31"/>
        <v>1.4453112361603497</v>
      </c>
      <c r="V54">
        <f>0.5*M54*K54*1000*$T$27^2*Q54^2</f>
        <v>29.885460467282506</v>
      </c>
      <c r="W54">
        <f>M54*K54*1000*$T$27*Q54</f>
        <v>41.35505172806513</v>
      </c>
      <c r="X54">
        <f>K54*Q54*T54+2*M54*K54*LN(1-Q54*(1-EXP(-T54*S54/M54))/2/S54)</f>
        <v>0.001118352201493076</v>
      </c>
      <c r="Y54" s="8">
        <f>V54/(X54*1000*9.8*E$5)</f>
        <v>0.9089375059438424</v>
      </c>
      <c r="AA54" s="16">
        <f>W54/K54*10^-5/I$5</f>
        <v>9.033195226002187</v>
      </c>
      <c r="AB54" s="6">
        <f>V54/AA54*10</f>
        <v>33.08404138245209</v>
      </c>
      <c r="AC54" s="6">
        <f>V54/$AC$27*10</f>
        <v>27.16860042480228</v>
      </c>
      <c r="AD54" s="22">
        <f t="shared" si="46"/>
        <v>39023.40337632944</v>
      </c>
    </row>
    <row r="55" spans="10:30" ht="15.75">
      <c r="J55">
        <f>$C$5*M55/1000/(3.14*L55^2/4)</f>
        <v>2.040816326530612</v>
      </c>
      <c r="K55">
        <f>3.14*L55^2/4</f>
        <v>0.0006154400000000001</v>
      </c>
      <c r="L55">
        <v>0.028</v>
      </c>
      <c r="M55" s="17">
        <v>50</v>
      </c>
      <c r="N55">
        <f>1/2*1000*M55/K55*R55^2</f>
        <v>534.5392704621512</v>
      </c>
      <c r="O55">
        <f>1000*M55*R55</f>
        <v>181.37718947354608</v>
      </c>
      <c r="P55">
        <f t="shared" si="41"/>
        <v>2267.214868419326</v>
      </c>
      <c r="Q55">
        <f>-J55+SQRT(J55^2+2*9.8*$E$5)</f>
        <v>5.894228177354285</v>
      </c>
      <c r="R55">
        <f>Q55*K55</f>
        <v>0.003627543789470922</v>
      </c>
      <c r="S55">
        <f>SQRT(J55^2+2*9.8*$E$5)</f>
        <v>7.935044503884897</v>
      </c>
      <c r="T55" s="6">
        <f>-M55/S55*LN(1-($T$27)/(-(1-$T$27)*Q55/2/S55+1))</f>
        <v>2.6808463549104866</v>
      </c>
      <c r="U55" s="6">
        <f t="shared" si="31"/>
        <v>1.4735570443385713</v>
      </c>
      <c r="V55">
        <f>0.5*M55*K55*1000*$T$27^2*Q55^2</f>
        <v>33.40870440388445</v>
      </c>
      <c r="W55">
        <f>M55*K55*1000*$T$27*Q55</f>
        <v>45.34429736838652</v>
      </c>
      <c r="X55">
        <f>K55*Q55*T55+2*M55*K55*LN(1-Q55*(1-EXP(-T55*S55/M55))/2/S55)</f>
        <v>0.0012459318781559686</v>
      </c>
      <c r="Y55" s="8">
        <f>V55/(X55*1000*9.8*E$5)</f>
        <v>0.9120486519775775</v>
      </c>
      <c r="AA55" s="16">
        <f>W55/K55*10^-5/I$5</f>
        <v>9.20973152711607</v>
      </c>
      <c r="AB55" s="6">
        <f>V55/AA55*10</f>
        <v>36.27543789470922</v>
      </c>
      <c r="AC55" s="6">
        <f>V55/$AC$27*10</f>
        <v>30.37154945807677</v>
      </c>
      <c r="AD55" s="22">
        <f t="shared" si="46"/>
        <v>41259.59724148</v>
      </c>
    </row>
    <row r="56" spans="10:30" ht="15.75">
      <c r="J56">
        <f aca="true" t="shared" si="47" ref="J56:J61">$C$5*M56/1000/(3.14*L56^2/4)</f>
        <v>1.9024970273483945</v>
      </c>
      <c r="K56">
        <f aca="true" t="shared" si="48" ref="K56:K61">3.14*L56^2/4</f>
        <v>0.0006601850000000001</v>
      </c>
      <c r="L56">
        <v>0.029</v>
      </c>
      <c r="M56" s="17">
        <v>50</v>
      </c>
      <c r="N56">
        <f aca="true" t="shared" si="49" ref="N56:N61">1/2*1000*M56/K56*R56^2</f>
        <v>593.7910253746959</v>
      </c>
      <c r="O56">
        <f aca="true" t="shared" si="50" ref="O56:O61">1000*M56*R56</f>
        <v>197.99291100617558</v>
      </c>
      <c r="P56">
        <f t="shared" si="41"/>
        <v>2474.9113875771945</v>
      </c>
      <c r="Q56">
        <f aca="true" t="shared" si="51" ref="Q56:Q61">-J56+SQRT(J56^2+2*9.8*$E$5)</f>
        <v>5.998103895307393</v>
      </c>
      <c r="R56">
        <f aca="true" t="shared" si="52" ref="R56:R61">Q56*K56</f>
        <v>0.0039598582201235116</v>
      </c>
      <c r="S56">
        <f aca="true" t="shared" si="53" ref="S56:S61">SQRT(J56^2+2*9.8*$E$5)</f>
        <v>7.900600922655787</v>
      </c>
      <c r="T56" s="6">
        <f aca="true" t="shared" si="54" ref="T56:T61">-M56/S56*LN(1-($T$27)/(-(1-$T$27)*Q56/2/S56+1))</f>
        <v>2.7214292178765014</v>
      </c>
      <c r="U56" s="6">
        <f t="shared" si="31"/>
        <v>1.4995259738268483</v>
      </c>
      <c r="V56">
        <f aca="true" t="shared" si="55" ref="V56:V61">0.5*M56*K56*1000*$T$27^2*Q56^2</f>
        <v>37.111939085918486</v>
      </c>
      <c r="W56">
        <f aca="true" t="shared" si="56" ref="W56:W61">M56*K56*1000*$T$27*Q56</f>
        <v>49.498227751543894</v>
      </c>
      <c r="X56">
        <f aca="true" t="shared" si="57" ref="X56:X61">K56*Q56*T56+2*M56*K56*LN(1-Q56*(1-EXP(-T56*S56/M56))/2/S56)</f>
        <v>0.0013796348459595622</v>
      </c>
      <c r="Y56" s="8">
        <f aca="true" t="shared" si="58" ref="Y56:Y61">V56/(X56*1000*9.8*E$5)</f>
        <v>0.9149601120610812</v>
      </c>
      <c r="AA56" s="16">
        <f aca="true" t="shared" si="59" ref="AA56:AA61">W56/K56*10^-5/I$5</f>
        <v>9.372037336417801</v>
      </c>
      <c r="AB56" s="6">
        <f aca="true" t="shared" si="60" ref="AB56:AB61">V56/AA56*10</f>
        <v>39.59858220123511</v>
      </c>
      <c r="AC56" s="6">
        <f aca="true" t="shared" si="61" ref="AC56:AC61">V56/$AC$27*10</f>
        <v>33.73812644174408</v>
      </c>
      <c r="AD56" s="22">
        <f t="shared" si="46"/>
        <v>43486.2532409786</v>
      </c>
    </row>
    <row r="57" spans="10:30" ht="15.75">
      <c r="J57">
        <f t="shared" si="47"/>
        <v>1.7777777777777777</v>
      </c>
      <c r="K57">
        <f t="shared" si="48"/>
        <v>0.0007065</v>
      </c>
      <c r="L57">
        <v>0.03</v>
      </c>
      <c r="M57" s="17">
        <v>50</v>
      </c>
      <c r="N57">
        <f t="shared" si="49"/>
        <v>655.8693179345296</v>
      </c>
      <c r="O57">
        <f t="shared" si="50"/>
        <v>215.26069616182724</v>
      </c>
      <c r="P57">
        <f t="shared" si="41"/>
        <v>2690.7587020228407</v>
      </c>
      <c r="Q57">
        <f t="shared" si="51"/>
        <v>6.093721051997941</v>
      </c>
      <c r="R57">
        <f t="shared" si="52"/>
        <v>0.004305213923236545</v>
      </c>
      <c r="S57">
        <f t="shared" si="53"/>
        <v>7.871498829775718</v>
      </c>
      <c r="T57" s="6">
        <f t="shared" si="54"/>
        <v>2.758515563252621</v>
      </c>
      <c r="U57" s="6">
        <f t="shared" si="31"/>
        <v>1.5234302629994851</v>
      </c>
      <c r="V57">
        <f t="shared" si="55"/>
        <v>40.99183237090809</v>
      </c>
      <c r="W57">
        <f t="shared" si="56"/>
        <v>53.81517404045682</v>
      </c>
      <c r="X57">
        <f t="shared" si="57"/>
        <v>0.0015193477134478588</v>
      </c>
      <c r="Y57" s="8">
        <f t="shared" si="58"/>
        <v>0.9176832928203636</v>
      </c>
      <c r="AA57" s="16">
        <f t="shared" si="59"/>
        <v>9.521439143746784</v>
      </c>
      <c r="AB57" s="6">
        <f t="shared" si="60"/>
        <v>43.05213923236544</v>
      </c>
      <c r="AC57" s="6">
        <f t="shared" si="61"/>
        <v>37.26530215537099</v>
      </c>
      <c r="AD57" s="22">
        <f t="shared" si="46"/>
        <v>45702.907889984555</v>
      </c>
    </row>
    <row r="58" spans="10:30" ht="15.75">
      <c r="J58">
        <f t="shared" si="47"/>
        <v>1.6649323621227887</v>
      </c>
      <c r="K58">
        <f t="shared" si="48"/>
        <v>0.000754385</v>
      </c>
      <c r="L58">
        <v>0.031</v>
      </c>
      <c r="M58" s="17">
        <v>50</v>
      </c>
      <c r="N58">
        <f t="shared" si="49"/>
        <v>720.725744661925</v>
      </c>
      <c r="O58">
        <f t="shared" si="50"/>
        <v>233.17476083118135</v>
      </c>
      <c r="P58">
        <f t="shared" si="41"/>
        <v>2914.6845103897667</v>
      </c>
      <c r="Q58">
        <f t="shared" si="51"/>
        <v>6.1818504034725335</v>
      </c>
      <c r="R58">
        <f t="shared" si="52"/>
        <v>0.004663495216623627</v>
      </c>
      <c r="S58">
        <f t="shared" si="53"/>
        <v>7.846782765595322</v>
      </c>
      <c r="T58" s="6">
        <f t="shared" si="54"/>
        <v>2.792467056962342</v>
      </c>
      <c r="U58" s="6">
        <f t="shared" si="31"/>
        <v>1.5454626008681334</v>
      </c>
      <c r="V58">
        <f t="shared" si="55"/>
        <v>45.04535904137031</v>
      </c>
      <c r="W58">
        <f t="shared" si="56"/>
        <v>58.29369020779534</v>
      </c>
      <c r="X58">
        <f t="shared" si="57"/>
        <v>0.0016649700128413339</v>
      </c>
      <c r="Y58" s="8">
        <f t="shared" si="58"/>
        <v>0.920229828535881</v>
      </c>
      <c r="AA58" s="16">
        <f t="shared" si="59"/>
        <v>9.659141255425837</v>
      </c>
      <c r="AB58" s="6">
        <f t="shared" si="60"/>
        <v>46.63495216623626</v>
      </c>
      <c r="AC58" s="6">
        <f t="shared" si="61"/>
        <v>40.95032640124573</v>
      </c>
      <c r="AD58" s="22">
        <f t="shared" si="46"/>
        <v>47909.34062691213</v>
      </c>
    </row>
    <row r="59" spans="10:30" ht="15.75">
      <c r="J59">
        <f t="shared" si="47"/>
        <v>1.5625</v>
      </c>
      <c r="K59">
        <f t="shared" si="48"/>
        <v>0.00080384</v>
      </c>
      <c r="L59">
        <v>0.032</v>
      </c>
      <c r="M59" s="17">
        <v>50</v>
      </c>
      <c r="N59">
        <f t="shared" si="49"/>
        <v>788.3165391246652</v>
      </c>
      <c r="O59">
        <f t="shared" si="50"/>
        <v>251.73008696021435</v>
      </c>
      <c r="P59">
        <f t="shared" si="41"/>
        <v>3146.6260870026795</v>
      </c>
      <c r="Q59">
        <f t="shared" si="51"/>
        <v>6.263188867441639</v>
      </c>
      <c r="R59">
        <f t="shared" si="52"/>
        <v>0.005034601739204287</v>
      </c>
      <c r="S59">
        <f t="shared" si="53"/>
        <v>7.825688867441639</v>
      </c>
      <c r="T59" s="6">
        <f t="shared" si="54"/>
        <v>2.8236050536411295</v>
      </c>
      <c r="U59" s="6">
        <f t="shared" si="31"/>
        <v>1.5657972168604097</v>
      </c>
      <c r="V59">
        <f t="shared" si="55"/>
        <v>49.269783695291565</v>
      </c>
      <c r="W59">
        <f t="shared" si="56"/>
        <v>62.93252174005359</v>
      </c>
      <c r="X59">
        <f t="shared" si="57"/>
        <v>0.0018164129033298067</v>
      </c>
      <c r="Y59" s="8">
        <f t="shared" si="58"/>
        <v>0.9226112519686075</v>
      </c>
      <c r="AA59" s="16">
        <f t="shared" si="59"/>
        <v>9.786232605377561</v>
      </c>
      <c r="AB59" s="6">
        <f t="shared" si="60"/>
        <v>50.34601739204287</v>
      </c>
      <c r="AC59" s="6">
        <f t="shared" si="61"/>
        <v>44.79071245026506</v>
      </c>
      <c r="AD59" s="22">
        <f t="shared" si="46"/>
        <v>50105.51093953311</v>
      </c>
    </row>
    <row r="60" spans="10:30" ht="15.75">
      <c r="J60">
        <f t="shared" si="47"/>
        <v>1.4692378328741962</v>
      </c>
      <c r="K60">
        <f t="shared" si="48"/>
        <v>0.0008548650000000001</v>
      </c>
      <c r="L60">
        <v>0.033</v>
      </c>
      <c r="M60" s="17">
        <v>50</v>
      </c>
      <c r="N60">
        <f t="shared" si="49"/>
        <v>858.6022367929154</v>
      </c>
      <c r="O60">
        <f t="shared" si="50"/>
        <v>270.9223138015722</v>
      </c>
      <c r="P60">
        <f t="shared" si="41"/>
        <v>3386.5289225196525</v>
      </c>
      <c r="Q60">
        <f t="shared" si="51"/>
        <v>6.338364859985429</v>
      </c>
      <c r="R60">
        <f t="shared" si="52"/>
        <v>0.005418446276031445</v>
      </c>
      <c r="S60">
        <f t="shared" si="53"/>
        <v>7.807602692859625</v>
      </c>
      <c r="T60" s="6">
        <f t="shared" si="54"/>
        <v>2.8522147175793644</v>
      </c>
      <c r="U60" s="6">
        <f t="shared" si="31"/>
        <v>1.5845912149963572</v>
      </c>
      <c r="V60">
        <f t="shared" si="55"/>
        <v>53.662639799557205</v>
      </c>
      <c r="W60">
        <f t="shared" si="56"/>
        <v>67.73057845039305</v>
      </c>
      <c r="X60">
        <f t="shared" si="57"/>
        <v>0.0019735979011798258</v>
      </c>
      <c r="Y60" s="8">
        <f t="shared" si="58"/>
        <v>0.9248387708745776</v>
      </c>
      <c r="AA60" s="16">
        <f t="shared" si="59"/>
        <v>9.903695093727233</v>
      </c>
      <c r="AB60" s="6">
        <f t="shared" si="60"/>
        <v>54.18446276031443</v>
      </c>
      <c r="AC60" s="6">
        <f t="shared" si="61"/>
        <v>48.78421799959746</v>
      </c>
      <c r="AD60" s="22">
        <f t="shared" si="46"/>
        <v>52291.51009487979</v>
      </c>
    </row>
    <row r="61" spans="10:30" ht="15.75">
      <c r="J61">
        <f t="shared" si="47"/>
        <v>1.3840830449826986</v>
      </c>
      <c r="K61">
        <f t="shared" si="48"/>
        <v>0.0009074600000000001</v>
      </c>
      <c r="L61">
        <v>0.034</v>
      </c>
      <c r="M61" s="17">
        <v>50</v>
      </c>
      <c r="N61">
        <f t="shared" si="49"/>
        <v>931.5473151652602</v>
      </c>
      <c r="O61">
        <f t="shared" si="50"/>
        <v>290.74764429309954</v>
      </c>
      <c r="P61">
        <f t="shared" si="41"/>
        <v>3634.3455536637443</v>
      </c>
      <c r="Q61">
        <f t="shared" si="51"/>
        <v>6.407944026030888</v>
      </c>
      <c r="R61">
        <f t="shared" si="52"/>
        <v>0.0058149528858619905</v>
      </c>
      <c r="S61">
        <f t="shared" si="53"/>
        <v>7.792027071013587</v>
      </c>
      <c r="T61" s="6">
        <f t="shared" si="54"/>
        <v>2.878548970912042</v>
      </c>
      <c r="U61" s="6">
        <f t="shared" si="31"/>
        <v>1.601986006507722</v>
      </c>
      <c r="V61">
        <f t="shared" si="55"/>
        <v>58.22170719782878</v>
      </c>
      <c r="W61">
        <f t="shared" si="56"/>
        <v>72.68691107327489</v>
      </c>
      <c r="X61">
        <f t="shared" si="57"/>
        <v>0.0021364556862782155</v>
      </c>
      <c r="Y61" s="8">
        <f t="shared" si="58"/>
        <v>0.9269231229629225</v>
      </c>
      <c r="AA61" s="16">
        <f t="shared" si="59"/>
        <v>10.012412540673264</v>
      </c>
      <c r="AB61" s="6">
        <f t="shared" si="60"/>
        <v>58.1495288586199</v>
      </c>
      <c r="AC61" s="6">
        <f t="shared" si="61"/>
        <v>52.92882472529889</v>
      </c>
      <c r="AD61" s="22">
        <f>L61/0.001*1000*U61</f>
        <v>54467.52422126255</v>
      </c>
    </row>
    <row r="62" spans="28:30" ht="15.75">
      <c r="AB62" s="14" t="s">
        <v>53</v>
      </c>
      <c r="AC62" s="5" t="s">
        <v>53</v>
      </c>
      <c r="AD62" s="2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</cp:lastModifiedBy>
  <dcterms:created xsi:type="dcterms:W3CDTF">2015-06-09T19:37:44Z</dcterms:created>
  <dcterms:modified xsi:type="dcterms:W3CDTF">2015-06-15T20:39:21Z</dcterms:modified>
  <cp:category/>
  <cp:version/>
  <cp:contentType/>
  <cp:contentStatus/>
</cp:coreProperties>
</file>